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eople.ey.com/personal/egil_jakobsen_no_ey_com/Documents/Documents/A - Privat/Egil Jakobsen/BSK - skigruppa/Budsjett/"/>
    </mc:Choice>
  </mc:AlternateContent>
  <xr:revisionPtr revIDLastSave="740" documentId="8_{BEAB4476-E5AE-4A40-B6C5-319B65E89965}" xr6:coauthVersionLast="47" xr6:coauthVersionMax="47" xr10:uidLastSave="{CBCA7A70-C078-49ED-9A0D-1BB72F5E126D}"/>
  <bookViews>
    <workbookView xWindow="-110" yWindow="-110" windowWidth="19420" windowHeight="11500" tabRatio="885" activeTab="4" xr2:uid="{DCF0695C-5D7A-41B3-8E6C-D7B39EE16513}"/>
  </bookViews>
  <sheets>
    <sheet name="BUDSJETT - OPPSUMMERT" sheetId="1" r:id="rId1"/>
    <sheet name="NC dugnad" sheetId="13" r:id="rId2"/>
    <sheet name="Andre inntekter" sheetId="11" r:id="rId3"/>
    <sheet name="Aktivitetsavgift" sheetId="6" r:id="rId4"/>
    <sheet name="Lønn" sheetId="5" r:id="rId5"/>
    <sheet name="Anlegg" sheetId="2" r:id="rId6"/>
    <sheet name="Sportslig aktivitet - langrenn" sheetId="3" r:id="rId7"/>
    <sheet name="Sportslig aktivitet - telemark" sheetId="4" r:id="rId8"/>
    <sheet name="Arrangement Langrenn" sheetId="7" r:id="rId9"/>
    <sheet name="Arrangement Telemark" sheetId="12" r:id="rId10"/>
    <sheet name="Finans" sheetId="10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5" l="1"/>
  <c r="I25" i="1"/>
  <c r="F25" i="1"/>
  <c r="F23" i="1"/>
  <c r="F24" i="1"/>
  <c r="C24" i="1" s="1"/>
  <c r="C23" i="1"/>
  <c r="K39" i="13"/>
  <c r="K38" i="13"/>
  <c r="K37" i="13"/>
  <c r="K36" i="13"/>
  <c r="K35" i="13"/>
  <c r="K34" i="13"/>
  <c r="I38" i="13"/>
  <c r="I37" i="13"/>
  <c r="I35" i="13"/>
  <c r="I36" i="13"/>
  <c r="I34" i="13"/>
  <c r="H4" i="13"/>
  <c r="D5" i="13"/>
  <c r="H5" i="13"/>
  <c r="H8" i="13" s="1"/>
  <c r="F4" i="1" s="1"/>
  <c r="D6" i="13"/>
  <c r="H6" i="13"/>
  <c r="E14" i="12"/>
  <c r="I15" i="1"/>
  <c r="I17" i="1"/>
  <c r="D4" i="7"/>
  <c r="I18" i="1"/>
  <c r="I11" i="1"/>
  <c r="L24" i="11"/>
  <c r="H24" i="11"/>
  <c r="D51" i="3"/>
  <c r="H7" i="13"/>
  <c r="L27" i="11"/>
  <c r="D27" i="11"/>
  <c r="D8" i="13"/>
  <c r="C25" i="1" l="1"/>
  <c r="D56" i="3"/>
  <c r="F17" i="1" s="1"/>
  <c r="C17" i="1" s="1"/>
  <c r="L4" i="13" l="1"/>
  <c r="L8" i="13" s="1"/>
  <c r="I4" i="1" s="1"/>
  <c r="C4" i="1" s="1"/>
  <c r="F5" i="6"/>
  <c r="G5" i="6" s="1"/>
  <c r="F6" i="6"/>
  <c r="G6" i="6" s="1"/>
  <c r="F7" i="6"/>
  <c r="G7" i="6" s="1"/>
  <c r="F8" i="6"/>
  <c r="G8" i="6" s="1"/>
  <c r="F9" i="6"/>
  <c r="G9" i="6" s="1"/>
  <c r="F10" i="6"/>
  <c r="G10" i="6" s="1"/>
  <c r="F11" i="6"/>
  <c r="G11" i="6" s="1"/>
  <c r="F12" i="6"/>
  <c r="G12" i="6" s="1"/>
  <c r="F13" i="6"/>
  <c r="G13" i="6" s="1"/>
  <c r="F14" i="6"/>
  <c r="G14" i="6" s="1"/>
  <c r="F15" i="6"/>
  <c r="G15" i="6" s="1"/>
  <c r="F16" i="6"/>
  <c r="G16" i="6" s="1"/>
  <c r="F17" i="6"/>
  <c r="G17" i="6" s="1"/>
  <c r="G24" i="6" s="1"/>
  <c r="F4" i="6"/>
  <c r="G4" i="6" s="1"/>
  <c r="H22" i="11"/>
  <c r="L22" i="11" s="1"/>
  <c r="H6" i="11"/>
  <c r="G19" i="6" l="1"/>
  <c r="G22" i="6"/>
  <c r="F6" i="1" s="1"/>
  <c r="D12" i="5"/>
  <c r="D11" i="5"/>
  <c r="D10" i="5"/>
  <c r="D9" i="5"/>
  <c r="D15" i="5"/>
  <c r="D14" i="5"/>
  <c r="I24" i="1"/>
  <c r="I23" i="1"/>
  <c r="I8" i="1"/>
  <c r="I5" i="1"/>
  <c r="I16" i="1"/>
  <c r="I10" i="1"/>
  <c r="I9" i="1"/>
  <c r="F10" i="1"/>
  <c r="F9" i="1"/>
  <c r="F8" i="1"/>
  <c r="L25" i="11"/>
  <c r="H25" i="11"/>
  <c r="H27" i="11" s="1"/>
  <c r="H18" i="11"/>
  <c r="F5" i="1" s="1"/>
  <c r="H14" i="11"/>
  <c r="L5" i="11"/>
  <c r="L8" i="11"/>
  <c r="H5" i="11"/>
  <c r="H8" i="11"/>
  <c r="L4" i="11"/>
  <c r="H4" i="11"/>
  <c r="E12" i="12"/>
  <c r="E7" i="12"/>
  <c r="H5" i="5"/>
  <c r="H4" i="5"/>
  <c r="I20" i="2"/>
  <c r="H6" i="5" l="1"/>
  <c r="D18" i="5"/>
  <c r="D20" i="5" s="1"/>
  <c r="F15" i="1" s="1"/>
  <c r="C15" i="1" s="1"/>
  <c r="C5" i="1"/>
  <c r="C9" i="1"/>
  <c r="C10" i="1"/>
  <c r="C8" i="1"/>
  <c r="F11" i="1"/>
  <c r="C11" i="1" s="1"/>
  <c r="L9" i="11"/>
  <c r="I7" i="1" s="1"/>
  <c r="H9" i="11"/>
  <c r="F7" i="1" s="1"/>
  <c r="C7" i="1" s="1"/>
  <c r="D26" i="7" l="1"/>
  <c r="E4" i="6"/>
  <c r="D20" i="2"/>
  <c r="F16" i="1" s="1"/>
  <c r="C16" i="1" s="1"/>
  <c r="H3" i="10"/>
  <c r="I3" i="10" s="1"/>
  <c r="I19" i="1" l="1"/>
  <c r="D21" i="7" l="1"/>
  <c r="D15" i="7"/>
  <c r="D7" i="7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I6" i="1" s="1"/>
  <c r="D18" i="11"/>
  <c r="D14" i="11"/>
  <c r="D9" i="11"/>
  <c r="D25" i="11"/>
  <c r="E19" i="6" l="1"/>
  <c r="D28" i="7"/>
  <c r="F18" i="1"/>
  <c r="I12" i="1"/>
  <c r="I27" i="1" s="1"/>
  <c r="C6" i="1"/>
  <c r="C12" i="1" s="1"/>
  <c r="F19" i="1" l="1"/>
  <c r="C18" i="1"/>
  <c r="C19" i="1" s="1"/>
  <c r="I21" i="1"/>
  <c r="F12" i="1"/>
  <c r="F21" i="1" l="1"/>
  <c r="F27" i="1"/>
  <c r="C27" i="1"/>
  <c r="C21" i="1"/>
</calcChain>
</file>

<file path=xl/sharedStrings.xml><?xml version="1.0" encoding="utf-8"?>
<sst xmlns="http://schemas.openxmlformats.org/spreadsheetml/2006/main" count="430" uniqueCount="243">
  <si>
    <t>Inntekter</t>
  </si>
  <si>
    <t>Dugnad Norway Cup</t>
  </si>
  <si>
    <t>Aktivitetsavgift</t>
  </si>
  <si>
    <t>Sponsorinntekter</t>
  </si>
  <si>
    <t>VIPPS/anlegg</t>
  </si>
  <si>
    <t>Julekalender</t>
  </si>
  <si>
    <t>Sum</t>
  </si>
  <si>
    <t>Sum inntekter</t>
  </si>
  <si>
    <t>Grasrotandel/bingo</t>
  </si>
  <si>
    <t>MVA-refusjon</t>
  </si>
  <si>
    <t>Tilskudd anlegg</t>
  </si>
  <si>
    <t>Kostnader</t>
  </si>
  <si>
    <t xml:space="preserve">Anleggskostnad </t>
  </si>
  <si>
    <t>Anleggskostnad ref HK</t>
  </si>
  <si>
    <t>Vann</t>
  </si>
  <si>
    <t>Diesel</t>
  </si>
  <si>
    <t>Reparasjoner og vedlikehold beltedyr</t>
  </si>
  <si>
    <t>Reparasjoner og vedlikehold snøkanoner</t>
  </si>
  <si>
    <t>Avskrivninger snøkanon</t>
  </si>
  <si>
    <t>Leie av Container</t>
  </si>
  <si>
    <t>Anlegg</t>
  </si>
  <si>
    <t>Samling sommersamling vår /HL/Jr</t>
  </si>
  <si>
    <t>Samling Sommersamling vår/HL/Jr</t>
  </si>
  <si>
    <t>Samling Sjusjøen Høst fra 11år</t>
  </si>
  <si>
    <t>Samling Sjusjøen Høst fra 11 år</t>
  </si>
  <si>
    <t/>
  </si>
  <si>
    <t>Refusjon kost/losji SENIOR NC/NM - 50% (en utøver)</t>
  </si>
  <si>
    <t>Kontingenter Team Oslo skikrets - (1 utøvere  9 000 pr utøver)</t>
  </si>
  <si>
    <t>Lagkontigent Team Kollen</t>
  </si>
  <si>
    <t>Varekjøp effekter utstyr</t>
  </si>
  <si>
    <t>Reise og opphold</t>
  </si>
  <si>
    <t>Trenere og støtteapparat NC/NM/HL (Jon, Ola, Jan, Håkon) Innkl leiebil NC Molde</t>
  </si>
  <si>
    <t>Bilgodtgjørelse</t>
  </si>
  <si>
    <t>Jon og Fredrik</t>
  </si>
  <si>
    <t>Halleie</t>
  </si>
  <si>
    <t>Leie smørebod etc på NC/NM/HL</t>
  </si>
  <si>
    <t>Startkontingenter</t>
  </si>
  <si>
    <t>Andre kostnadsgodtgjørelser</t>
  </si>
  <si>
    <t>Elitestipender</t>
  </si>
  <si>
    <t>Team Kollen</t>
  </si>
  <si>
    <t>Samling Sjusjøen</t>
  </si>
  <si>
    <t>Hjemmesamling</t>
  </si>
  <si>
    <t>Sosiale gruppesamlinger</t>
  </si>
  <si>
    <t>Junior NC/NM</t>
  </si>
  <si>
    <t>Egenandeler</t>
  </si>
  <si>
    <t>Sommersamling HL/Jr</t>
  </si>
  <si>
    <t>Kontigent Team Oslo Skikrets</t>
  </si>
  <si>
    <t>Skismurning</t>
  </si>
  <si>
    <t>Reise og opphold - trenere og støtteapparat</t>
  </si>
  <si>
    <t>Annen godtgjørelse</t>
  </si>
  <si>
    <t>Stipend</t>
  </si>
  <si>
    <t>Sum kostnader</t>
  </si>
  <si>
    <t>SUM ANLEGGSKOSTNADER</t>
  </si>
  <si>
    <t>Støtte til arrangement</t>
  </si>
  <si>
    <t>Telemark støtteapparat</t>
  </si>
  <si>
    <t>Trenere og støtteapparat NC/NM/WC (Morten, Nils, Tore, Glenn, Anita)</t>
  </si>
  <si>
    <t xml:space="preserve">Egenandeler aktivitet telemark NSF Norge (Landslag) </t>
  </si>
  <si>
    <t>Kostnader aktivitet telemark</t>
  </si>
  <si>
    <t>FIS Lisens nulles ut da de er landslagsutøver og NSF betaler</t>
  </si>
  <si>
    <t>Lønn</t>
  </si>
  <si>
    <t>Ungdomstrener 7-8</t>
  </si>
  <si>
    <t>Ungdomstrener 9 år</t>
  </si>
  <si>
    <t>Ungdomstrener 10 år</t>
  </si>
  <si>
    <t>Ungdomstrener 11 år</t>
  </si>
  <si>
    <t>Ungdomstrener 12 år</t>
  </si>
  <si>
    <t>Hovedtrener skigruppa/jr/sr Jon</t>
  </si>
  <si>
    <t>Trener Milla (Marte)</t>
  </si>
  <si>
    <t>Timebassert Trener Telemark</t>
  </si>
  <si>
    <t>Smøreassistanse</t>
  </si>
  <si>
    <t>Aga</t>
  </si>
  <si>
    <t>NB: Formelbasert</t>
  </si>
  <si>
    <t>OTP</t>
  </si>
  <si>
    <t>Beregnet 4% av lønnskostnader ovenfor</t>
  </si>
  <si>
    <t>Treningsutstyr/utgiftsdekning</t>
  </si>
  <si>
    <t>Trenervester etc</t>
  </si>
  <si>
    <t>jr satsende</t>
  </si>
  <si>
    <t>jr ikke satsende</t>
  </si>
  <si>
    <t>sr</t>
  </si>
  <si>
    <t>sr telemark</t>
  </si>
  <si>
    <t>Sats</t>
  </si>
  <si>
    <t>Skileik</t>
  </si>
  <si>
    <t>Utgifter egne arrangement</t>
  </si>
  <si>
    <t>Kostnader skileik</t>
  </si>
  <si>
    <t>Trenere skileik</t>
  </si>
  <si>
    <t>Karusellrenn</t>
  </si>
  <si>
    <t>Klubbmesterskap</t>
  </si>
  <si>
    <t>Brannfjell Opp</t>
  </si>
  <si>
    <t>Oslo Sportslagerløp</t>
  </si>
  <si>
    <t>Annet/reserve</t>
  </si>
  <si>
    <t>Klubbkvelden i april</t>
  </si>
  <si>
    <t>Blomster mm. til trenere ifm klubbkveld</t>
  </si>
  <si>
    <t>Premier (kjøpt for 70.000 i 2024)</t>
  </si>
  <si>
    <t>Skigruppas egne arrangementer</t>
  </si>
  <si>
    <t>Klubbkveld april/mai</t>
  </si>
  <si>
    <t>SUM EGNE ARRANGEMENTER</t>
  </si>
  <si>
    <t>Forsikring</t>
  </si>
  <si>
    <t>Smørevogn og anleggsutstyr</t>
  </si>
  <si>
    <t>Renter og bankprovisjoner</t>
  </si>
  <si>
    <t>Inkl buypass kostnader</t>
  </si>
  <si>
    <t>Renteinntekter</t>
  </si>
  <si>
    <t>Oslo Sportslager</t>
  </si>
  <si>
    <t>Trimtex</t>
  </si>
  <si>
    <t>Legater diverse</t>
  </si>
  <si>
    <t>Julekalender kostnad</t>
  </si>
  <si>
    <t>Dugnader</t>
  </si>
  <si>
    <t>Bingo</t>
  </si>
  <si>
    <t>Grasrot</t>
  </si>
  <si>
    <t>Momsrefusjon NIF</t>
  </si>
  <si>
    <t>EY</t>
  </si>
  <si>
    <t>Julekalendere</t>
  </si>
  <si>
    <t>Andre inntekter</t>
  </si>
  <si>
    <t>Strøm (justeres ift prisnivå?)</t>
  </si>
  <si>
    <t>Finansinntekter</t>
  </si>
  <si>
    <t>Finanskostnader</t>
  </si>
  <si>
    <t>Netto finansinntekt/kostnad</t>
  </si>
  <si>
    <t>RESULTAT</t>
  </si>
  <si>
    <t>Samme som 2025</t>
  </si>
  <si>
    <t>Leie av anlegg</t>
  </si>
  <si>
    <t>Snøproduksjon</t>
  </si>
  <si>
    <t>Leie av anlegg Skullerud ifm karusellrenn</t>
  </si>
  <si>
    <t>Leie av container</t>
  </si>
  <si>
    <t>Anleggsbidrag</t>
  </si>
  <si>
    <t>8 og yngre: 2018 og senere</t>
  </si>
  <si>
    <t>9: 2017</t>
  </si>
  <si>
    <t>10: 2016</t>
  </si>
  <si>
    <t>11: 2015</t>
  </si>
  <si>
    <t>12: 2014</t>
  </si>
  <si>
    <t>13: 2013</t>
  </si>
  <si>
    <t>14: 2012</t>
  </si>
  <si>
    <t>15: 2011</t>
  </si>
  <si>
    <t>16: 2010</t>
  </si>
  <si>
    <t>17: 2009</t>
  </si>
  <si>
    <t>Antall</t>
  </si>
  <si>
    <t>Videreført fra tidligere år</t>
  </si>
  <si>
    <t>SUM INNTEKTER</t>
  </si>
  <si>
    <t>Medlemsavgift</t>
  </si>
  <si>
    <t>Resultat (før finans)</t>
  </si>
  <si>
    <t>Hjemmesamling mai</t>
  </si>
  <si>
    <t>Hjemmesamling august</t>
  </si>
  <si>
    <t>Hjemmesamling oktober</t>
  </si>
  <si>
    <t xml:space="preserve">Kostnader aktivitet langrenn </t>
  </si>
  <si>
    <t>Kostnader aktivitet langrenn</t>
  </si>
  <si>
    <t>Egenandeler aktivitet langrenn</t>
  </si>
  <si>
    <t xml:space="preserve">Egenandeler aktivitet langrenn </t>
  </si>
  <si>
    <t>Arrangement</t>
  </si>
  <si>
    <t xml:space="preserve">Heiskort </t>
  </si>
  <si>
    <t>Annet</t>
  </si>
  <si>
    <t>Bækkelagsrennet</t>
  </si>
  <si>
    <t>Skirenn Skullerud</t>
  </si>
  <si>
    <t>Budsjett BSK Skigruppa</t>
  </si>
  <si>
    <t>Snøsamling Beitostølen</t>
  </si>
  <si>
    <t>KOSTNADER SPORTSLIG ARRANGEMENT LANGRENN</t>
  </si>
  <si>
    <t>KOSTNADER SPORTSLIG ARRANGEMENT TELEMARK</t>
  </si>
  <si>
    <t>AKTIVITETSAVGIFT OG MEDLEMSAVGIFT</t>
  </si>
  <si>
    <t>ANLEGGSKOSTNADER Telemark</t>
  </si>
  <si>
    <t>LØNNSKOSTNADER Langrenn</t>
  </si>
  <si>
    <t>LØNNSKOSTNADER Telemark</t>
  </si>
  <si>
    <t>Hjelpetrener Junior år 1.5.26 - 31.12.26 Fredrik</t>
  </si>
  <si>
    <t>Hjelpetrener Junior år 1.1.26 - 30.4.26 Fredrik</t>
  </si>
  <si>
    <t>Hovedtrener HL år 1.1.26-30.04.26 Håkon</t>
  </si>
  <si>
    <t>Hovedtrener HL år 1.5.26-31.12.26Håkon</t>
  </si>
  <si>
    <t>Refusjon kost/losji JUNIOR NC/NM - 50% (9 utøvere)</t>
  </si>
  <si>
    <t>Kontingenter Team Kollen - (8 utøvere 4500 pr utøver )</t>
  </si>
  <si>
    <t>Kontingenter Team Kollen - (8 utøvere 9000 pr utøver)</t>
  </si>
  <si>
    <t>ARRANGEMENT Langrenn</t>
  </si>
  <si>
    <t>ARRANGEMENT Telemark</t>
  </si>
  <si>
    <t>Arrangerte renn</t>
  </si>
  <si>
    <t>Telemarkgruppas egne arrangementer</t>
  </si>
  <si>
    <t>Heiskort trening/sesongkort (4 utøvere a 2000,-)</t>
  </si>
  <si>
    <t>Heiskort NC (12 renn, 4 utøvere,350 pr renn helg * 50%)</t>
  </si>
  <si>
    <t>Smøring (4 utøvere 12 renn, 250 pr renn)</t>
  </si>
  <si>
    <t>Telemark (12 renn (6 rennhelger), 4 utøvere, 160,-)</t>
  </si>
  <si>
    <t xml:space="preserve">Kontingenter landslag (4 utøvere 28.500 pr utøver) </t>
  </si>
  <si>
    <t>Kontingent Team Elon</t>
  </si>
  <si>
    <t>Hovedtrener  UHL  fom 1.5.26-31.12.26 SAT</t>
  </si>
  <si>
    <t>Hovedtrener UHL fom 1.1.26-30.4.26 SAT</t>
  </si>
  <si>
    <t>Kost og losji for 6 rennhelger, 500,- pr renn, 4 utøvere</t>
  </si>
  <si>
    <t>Videreført Redusert med kr 50 000</t>
  </si>
  <si>
    <t>Inntekter (konservativt)</t>
  </si>
  <si>
    <t xml:space="preserve">Refusjon kost/losji HL 50%(3 utøvere a 3000) </t>
  </si>
  <si>
    <t>Ny sats</t>
  </si>
  <si>
    <t>Samling</t>
  </si>
  <si>
    <t>Sportslig aktiviteter - langrenn</t>
  </si>
  <si>
    <t>Sportslig aktiviteter - telemark</t>
  </si>
  <si>
    <t>Avdeling Langrenn</t>
  </si>
  <si>
    <t>Avdeling Telemark</t>
  </si>
  <si>
    <t>Gave</t>
  </si>
  <si>
    <t>Fashe AS</t>
  </si>
  <si>
    <t>Publikumsinntekt, skispor</t>
  </si>
  <si>
    <t>Dugnad - julekalender</t>
  </si>
  <si>
    <t>VIPPS</t>
  </si>
  <si>
    <t>Produksjon skispor</t>
  </si>
  <si>
    <t>Varekjøp</t>
  </si>
  <si>
    <t>Totale inntekter BSK Skigruppa</t>
  </si>
  <si>
    <t>Utgår, tilordnes hovedklubben</t>
  </si>
  <si>
    <t>SUM</t>
  </si>
  <si>
    <t>Økning</t>
  </si>
  <si>
    <t>Gjeldende 2025</t>
  </si>
  <si>
    <t>Forslag 2026</t>
  </si>
  <si>
    <t>Støtte snøproduksjon mv</t>
  </si>
  <si>
    <t>Dugnad NC</t>
  </si>
  <si>
    <t>Grunnbidrag</t>
  </si>
  <si>
    <t>Dugnad voksne</t>
  </si>
  <si>
    <t>Dugnad barn</t>
  </si>
  <si>
    <t>Under 15 år</t>
  </si>
  <si>
    <t>15 år og eldre</t>
  </si>
  <si>
    <t>Budsjetterte timer 15 år og eldre</t>
  </si>
  <si>
    <t>Budsjetterte timer under 15 år</t>
  </si>
  <si>
    <t>Timepris 15 år og eldre</t>
  </si>
  <si>
    <t>Timepris under 15 år</t>
  </si>
  <si>
    <t>Må avklares</t>
  </si>
  <si>
    <t>Elitestipend</t>
  </si>
  <si>
    <t>Grunnbidrag*</t>
  </si>
  <si>
    <t>* fordeles etter medlemstall</t>
  </si>
  <si>
    <t>Anleggskostnader langrenn</t>
  </si>
  <si>
    <t>A…</t>
  </si>
  <si>
    <t>B…</t>
  </si>
  <si>
    <t>C…</t>
  </si>
  <si>
    <t>Inntekter skileik 50 deltakere X 450</t>
  </si>
  <si>
    <r>
      <t xml:space="preserve">SUM KOSTNADER SPORTSLIG ARRANGEMENT </t>
    </r>
    <r>
      <rPr>
        <b/>
        <sz val="10"/>
        <color rgb="FFFF0000"/>
        <rFont val="Aptos Narrow"/>
        <family val="2"/>
        <scheme val="minor"/>
      </rPr>
      <t>LANGRENN</t>
    </r>
  </si>
  <si>
    <t>Andre inntekter BSK Skigruppa</t>
  </si>
  <si>
    <r>
      <t xml:space="preserve">SUM KOSTNADER SPORTSLIG ARRANGEMENT </t>
    </r>
    <r>
      <rPr>
        <b/>
        <sz val="10"/>
        <color rgb="FFFF0000"/>
        <rFont val="Aptos Narrow"/>
        <family val="2"/>
        <scheme val="minor"/>
      </rPr>
      <t>TELEMARK</t>
    </r>
  </si>
  <si>
    <t>EY Bidrag</t>
  </si>
  <si>
    <t>2018/19-gruppen</t>
  </si>
  <si>
    <t>2017-gruppen</t>
  </si>
  <si>
    <t>2016-gruppen</t>
  </si>
  <si>
    <t>2015-gruppen</t>
  </si>
  <si>
    <t>Sportslig aktiviteter</t>
  </si>
  <si>
    <t>Arrangement langrenn</t>
  </si>
  <si>
    <t>Arrangement telemark</t>
  </si>
  <si>
    <r>
      <t xml:space="preserve">Medlemsavgift </t>
    </r>
    <r>
      <rPr>
        <sz val="10"/>
        <color rgb="FFFFC000"/>
        <rFont val="Calibri"/>
        <family val="2"/>
      </rPr>
      <t>Langrenn</t>
    </r>
  </si>
  <si>
    <r>
      <t xml:space="preserve">Medlemsavgift </t>
    </r>
    <r>
      <rPr>
        <sz val="10"/>
        <color rgb="FFFFC000"/>
        <rFont val="Calibri"/>
        <family val="2"/>
      </rPr>
      <t>Telemark</t>
    </r>
  </si>
  <si>
    <t>B</t>
  </si>
  <si>
    <t>C</t>
  </si>
  <si>
    <t>Søkbar ekstra støtte til landslagsutøvere -4 stk a 4000</t>
  </si>
  <si>
    <t>Gavebidrag fra Fashe AS</t>
  </si>
  <si>
    <t>Bidrag til gruppene (7år - 14 år)</t>
  </si>
  <si>
    <t>Avklart</t>
  </si>
  <si>
    <t>Ella</t>
  </si>
  <si>
    <t>Jacob</t>
  </si>
  <si>
    <t>Grøil</t>
  </si>
  <si>
    <t>Anita</t>
  </si>
  <si>
    <t>Morten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</si>
</sst>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rgb="FF242424"/>
      <name val="Aptos Narrow"/>
      <family val="2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sz val="9"/>
      <color theme="1"/>
      <name val="Calibri"/>
      <family val="2"/>
    </font>
    <font>
      <sz val="9"/>
      <color rgb="FF000000"/>
      <name val="Calibri"/>
      <family val="2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b/>
      <i/>
      <sz val="9"/>
      <color theme="1"/>
      <name val="Aptos Narrow"/>
      <family val="2"/>
      <scheme val="minor"/>
    </font>
    <font>
      <i/>
      <sz val="9"/>
      <color theme="1"/>
      <name val="Calibri"/>
      <family val="2"/>
    </font>
    <font>
      <i/>
      <sz val="9"/>
      <color rgb="FF000000"/>
      <name val="Calibri"/>
      <family val="2"/>
    </font>
    <font>
      <b/>
      <i/>
      <sz val="9"/>
      <color theme="1"/>
      <name val="Calibri"/>
      <family val="2"/>
    </font>
    <font>
      <b/>
      <i/>
      <sz val="9"/>
      <color rgb="FF000000"/>
      <name val="Calibri"/>
      <family val="2"/>
    </font>
    <font>
      <sz val="10"/>
      <color rgb="FFFF0000"/>
      <name val="Calibri"/>
      <family val="2"/>
    </font>
    <font>
      <b/>
      <sz val="9"/>
      <color rgb="FFFF0000"/>
      <name val="Aptos Narrow"/>
      <family val="2"/>
      <scheme val="minor"/>
    </font>
    <font>
      <sz val="9"/>
      <color rgb="FFFF0000"/>
      <name val="Aptos Narrow"/>
      <family val="2"/>
      <scheme val="minor"/>
    </font>
    <font>
      <sz val="10"/>
      <name val="Calibri"/>
      <family val="2"/>
    </font>
    <font>
      <b/>
      <sz val="10"/>
      <color rgb="FFFF000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color rgb="FFFFC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CF4D4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91">
    <xf numFmtId="0" fontId="0" fillId="0" borderId="0" xfId="0"/>
    <xf numFmtId="0" fontId="0" fillId="3" borderId="0" xfId="0" applyFill="1"/>
    <xf numFmtId="0" fontId="5" fillId="3" borderId="0" xfId="12" applyFont="1" applyFill="1"/>
    <xf numFmtId="3" fontId="5" fillId="3" borderId="0" xfId="12" applyNumberFormat="1" applyFont="1" applyFill="1"/>
    <xf numFmtId="0" fontId="2" fillId="3" borderId="0" xfId="0" applyFont="1" applyFill="1"/>
    <xf numFmtId="0" fontId="2" fillId="2" borderId="0" xfId="0" applyFont="1" applyFill="1"/>
    <xf numFmtId="0" fontId="0" fillId="2" borderId="0" xfId="0" applyFill="1"/>
    <xf numFmtId="0" fontId="5" fillId="3" borderId="0" xfId="3" applyFont="1" applyFill="1"/>
    <xf numFmtId="0" fontId="5" fillId="3" borderId="0" xfId="3" applyFont="1" applyFill="1" applyAlignment="1">
      <alignment horizontal="center"/>
    </xf>
    <xf numFmtId="3" fontId="5" fillId="3" borderId="0" xfId="3" applyNumberFormat="1" applyFont="1" applyFill="1"/>
    <xf numFmtId="0" fontId="5" fillId="4" borderId="0" xfId="3" applyFont="1" applyFill="1"/>
    <xf numFmtId="0" fontId="5" fillId="4" borderId="0" xfId="3" applyFont="1" applyFill="1" applyAlignment="1">
      <alignment horizontal="center"/>
    </xf>
    <xf numFmtId="3" fontId="5" fillId="4" borderId="0" xfId="3" applyNumberFormat="1" applyFont="1" applyFill="1"/>
    <xf numFmtId="0" fontId="2" fillId="5" borderId="2" xfId="0" applyFont="1" applyFill="1" applyBorder="1"/>
    <xf numFmtId="0" fontId="0" fillId="5" borderId="2" xfId="0" applyFill="1" applyBorder="1"/>
    <xf numFmtId="0" fontId="6" fillId="5" borderId="2" xfId="3" applyFont="1" applyFill="1" applyBorder="1"/>
    <xf numFmtId="0" fontId="5" fillId="5" borderId="2" xfId="3" applyFont="1" applyFill="1" applyBorder="1"/>
    <xf numFmtId="0" fontId="5" fillId="5" borderId="2" xfId="3" applyFont="1" applyFill="1" applyBorder="1" applyAlignment="1">
      <alignment horizontal="center"/>
    </xf>
    <xf numFmtId="3" fontId="5" fillId="5" borderId="2" xfId="3" applyNumberFormat="1" applyFont="1" applyFill="1" applyBorder="1"/>
    <xf numFmtId="0" fontId="7" fillId="3" borderId="0" xfId="12" applyFont="1" applyFill="1"/>
    <xf numFmtId="0" fontId="5" fillId="4" borderId="0" xfId="12" applyFont="1" applyFill="1"/>
    <xf numFmtId="3" fontId="5" fillId="4" borderId="0" xfId="12" applyNumberFormat="1" applyFont="1" applyFill="1"/>
    <xf numFmtId="0" fontId="6" fillId="5" borderId="2" xfId="12" applyFont="1" applyFill="1" applyBorder="1"/>
    <xf numFmtId="0" fontId="5" fillId="3" borderId="0" xfId="12" applyFont="1" applyFill="1" applyAlignment="1">
      <alignment horizontal="center"/>
    </xf>
    <xf numFmtId="0" fontId="2" fillId="5" borderId="0" xfId="0" applyFont="1" applyFill="1"/>
    <xf numFmtId="0" fontId="5" fillId="4" borderId="0" xfId="12" applyFont="1" applyFill="1" applyAlignment="1">
      <alignment horizontal="center"/>
    </xf>
    <xf numFmtId="3" fontId="5" fillId="5" borderId="2" xfId="12" applyNumberFormat="1" applyFont="1" applyFill="1" applyBorder="1"/>
    <xf numFmtId="0" fontId="5" fillId="5" borderId="2" xfId="12" applyFont="1" applyFill="1" applyBorder="1"/>
    <xf numFmtId="0" fontId="5" fillId="5" borderId="2" xfId="12" applyFont="1" applyFill="1" applyBorder="1" applyAlignment="1">
      <alignment horizontal="center"/>
    </xf>
    <xf numFmtId="3" fontId="5" fillId="6" borderId="4" xfId="12" applyNumberFormat="1" applyFont="1" applyFill="1" applyBorder="1"/>
    <xf numFmtId="3" fontId="0" fillId="6" borderId="4" xfId="0" applyNumberFormat="1" applyFill="1" applyBorder="1"/>
    <xf numFmtId="0" fontId="2" fillId="7" borderId="1" xfId="0" applyFont="1" applyFill="1" applyBorder="1"/>
    <xf numFmtId="0" fontId="0" fillId="7" borderId="1" xfId="0" applyFill="1" applyBorder="1"/>
    <xf numFmtId="3" fontId="2" fillId="7" borderId="1" xfId="0" applyNumberFormat="1" applyFont="1" applyFill="1" applyBorder="1"/>
    <xf numFmtId="0" fontId="0" fillId="5" borderId="0" xfId="0" applyFill="1"/>
    <xf numFmtId="10" fontId="0" fillId="3" borderId="0" xfId="2" applyNumberFormat="1" applyFont="1" applyFill="1"/>
    <xf numFmtId="164" fontId="0" fillId="3" borderId="0" xfId="1" applyNumberFormat="1" applyFont="1" applyFill="1"/>
    <xf numFmtId="3" fontId="0" fillId="4" borderId="1" xfId="0" applyNumberFormat="1" applyFill="1" applyBorder="1"/>
    <xf numFmtId="0" fontId="11" fillId="3" borderId="0" xfId="0" applyFont="1" applyFill="1"/>
    <xf numFmtId="0" fontId="11" fillId="0" borderId="0" xfId="0" applyFont="1"/>
    <xf numFmtId="0" fontId="12" fillId="5" borderId="0" xfId="0" applyFont="1" applyFill="1"/>
    <xf numFmtId="0" fontId="13" fillId="5" borderId="0" xfId="0" applyFont="1" applyFill="1"/>
    <xf numFmtId="0" fontId="13" fillId="3" borderId="0" xfId="0" applyFont="1" applyFill="1"/>
    <xf numFmtId="0" fontId="14" fillId="4" borderId="1" xfId="0" applyFont="1" applyFill="1" applyBorder="1"/>
    <xf numFmtId="164" fontId="13" fillId="4" borderId="1" xfId="1" applyNumberFormat="1" applyFont="1" applyFill="1" applyBorder="1"/>
    <xf numFmtId="164" fontId="13" fillId="3" borderId="0" xfId="1" applyNumberFormat="1" applyFont="1" applyFill="1"/>
    <xf numFmtId="0" fontId="13" fillId="8" borderId="0" xfId="0" applyFont="1" applyFill="1"/>
    <xf numFmtId="164" fontId="13" fillId="8" borderId="0" xfId="1" applyNumberFormat="1" applyFont="1" applyFill="1"/>
    <xf numFmtId="0" fontId="13" fillId="4" borderId="4" xfId="0" applyFont="1" applyFill="1" applyBorder="1"/>
    <xf numFmtId="164" fontId="13" fillId="4" borderId="4" xfId="1" applyNumberFormat="1" applyFont="1" applyFill="1" applyBorder="1"/>
    <xf numFmtId="0" fontId="12" fillId="9" borderId="3" xfId="0" applyFont="1" applyFill="1" applyBorder="1"/>
    <xf numFmtId="0" fontId="17" fillId="3" borderId="0" xfId="0" applyFont="1" applyFill="1"/>
    <xf numFmtId="0" fontId="18" fillId="8" borderId="0" xfId="0" applyFont="1" applyFill="1"/>
    <xf numFmtId="164" fontId="18" fillId="8" borderId="0" xfId="1" applyNumberFormat="1" applyFont="1" applyFill="1"/>
    <xf numFmtId="0" fontId="18" fillId="4" borderId="1" xfId="0" applyFont="1" applyFill="1" applyBorder="1"/>
    <xf numFmtId="164" fontId="17" fillId="4" borderId="1" xfId="1" applyNumberFormat="1" applyFont="1" applyFill="1" applyBorder="1"/>
    <xf numFmtId="164" fontId="17" fillId="3" borderId="0" xfId="1" applyNumberFormat="1" applyFont="1" applyFill="1"/>
    <xf numFmtId="0" fontId="18" fillId="3" borderId="0" xfId="0" applyFont="1" applyFill="1"/>
    <xf numFmtId="0" fontId="17" fillId="4" borderId="1" xfId="0" applyFont="1" applyFill="1" applyBorder="1"/>
    <xf numFmtId="0" fontId="17" fillId="0" borderId="0" xfId="0" applyFont="1"/>
    <xf numFmtId="164" fontId="17" fillId="0" borderId="0" xfId="1" applyNumberFormat="1" applyFont="1"/>
    <xf numFmtId="0" fontId="16" fillId="9" borderId="1" xfId="0" applyFont="1" applyFill="1" applyBorder="1"/>
    <xf numFmtId="164" fontId="16" fillId="9" borderId="1" xfId="1" applyNumberFormat="1" applyFont="1" applyFill="1" applyBorder="1"/>
    <xf numFmtId="0" fontId="17" fillId="8" borderId="0" xfId="0" applyFont="1" applyFill="1"/>
    <xf numFmtId="164" fontId="17" fillId="8" borderId="0" xfId="1" applyNumberFormat="1" applyFont="1" applyFill="1"/>
    <xf numFmtId="0" fontId="17" fillId="4" borderId="4" xfId="0" applyFont="1" applyFill="1" applyBorder="1"/>
    <xf numFmtId="164" fontId="17" fillId="4" borderId="4" xfId="1" applyNumberFormat="1" applyFont="1" applyFill="1" applyBorder="1"/>
    <xf numFmtId="0" fontId="16" fillId="9" borderId="3" xfId="0" applyFont="1" applyFill="1" applyBorder="1"/>
    <xf numFmtId="164" fontId="16" fillId="9" borderId="3" xfId="1" applyNumberFormat="1" applyFont="1" applyFill="1" applyBorder="1"/>
    <xf numFmtId="164" fontId="12" fillId="9" borderId="3" xfId="0" applyNumberFormat="1" applyFont="1" applyFill="1" applyBorder="1"/>
    <xf numFmtId="0" fontId="12" fillId="5" borderId="2" xfId="0" applyFont="1" applyFill="1" applyBorder="1"/>
    <xf numFmtId="0" fontId="13" fillId="5" borderId="2" xfId="0" applyFont="1" applyFill="1" applyBorder="1"/>
    <xf numFmtId="0" fontId="0" fillId="3" borderId="2" xfId="0" applyFill="1" applyBorder="1"/>
    <xf numFmtId="0" fontId="16" fillId="5" borderId="2" xfId="0" applyFont="1" applyFill="1" applyBorder="1"/>
    <xf numFmtId="0" fontId="17" fillId="5" borderId="2" xfId="0" applyFont="1" applyFill="1" applyBorder="1"/>
    <xf numFmtId="164" fontId="17" fillId="5" borderId="2" xfId="1" applyNumberFormat="1" applyFont="1" applyFill="1" applyBorder="1"/>
    <xf numFmtId="0" fontId="5" fillId="8" borderId="0" xfId="12" applyFont="1" applyFill="1"/>
    <xf numFmtId="3" fontId="5" fillId="8" borderId="0" xfId="12" applyNumberFormat="1" applyFont="1" applyFill="1"/>
    <xf numFmtId="0" fontId="19" fillId="8" borderId="0" xfId="12" applyFont="1" applyFill="1"/>
    <xf numFmtId="0" fontId="20" fillId="8" borderId="0" xfId="12" applyFont="1" applyFill="1"/>
    <xf numFmtId="3" fontId="19" fillId="8" borderId="0" xfId="12" applyNumberFormat="1" applyFont="1" applyFill="1"/>
    <xf numFmtId="0" fontId="19" fillId="3" borderId="0" xfId="12" applyFont="1" applyFill="1"/>
    <xf numFmtId="0" fontId="20" fillId="3" borderId="0" xfId="12" applyFont="1" applyFill="1"/>
    <xf numFmtId="3" fontId="19" fillId="4" borderId="1" xfId="12" applyNumberFormat="1" applyFont="1" applyFill="1" applyBorder="1"/>
    <xf numFmtId="3" fontId="19" fillId="3" borderId="0" xfId="12" applyNumberFormat="1" applyFont="1" applyFill="1"/>
    <xf numFmtId="0" fontId="21" fillId="5" borderId="2" xfId="12" applyFont="1" applyFill="1" applyBorder="1"/>
    <xf numFmtId="3" fontId="13" fillId="3" borderId="0" xfId="0" applyNumberFormat="1" applyFont="1" applyFill="1"/>
    <xf numFmtId="0" fontId="22" fillId="5" borderId="2" xfId="12" applyFont="1" applyFill="1" applyBorder="1"/>
    <xf numFmtId="3" fontId="21" fillId="5" borderId="2" xfId="12" applyNumberFormat="1" applyFont="1" applyFill="1" applyBorder="1"/>
    <xf numFmtId="0" fontId="12" fillId="4" borderId="4" xfId="0" applyFont="1" applyFill="1" applyBorder="1" applyAlignment="1">
      <alignment horizontal="right"/>
    </xf>
    <xf numFmtId="3" fontId="12" fillId="4" borderId="4" xfId="0" applyNumberFormat="1" applyFont="1" applyFill="1" applyBorder="1"/>
    <xf numFmtId="0" fontId="23" fillId="8" borderId="0" xfId="12" applyFont="1" applyFill="1"/>
    <xf numFmtId="0" fontId="24" fillId="8" borderId="0" xfId="12" applyFont="1" applyFill="1"/>
    <xf numFmtId="3" fontId="23" fillId="8" borderId="0" xfId="12" applyNumberFormat="1" applyFont="1" applyFill="1"/>
    <xf numFmtId="3" fontId="17" fillId="4" borderId="1" xfId="0" applyNumberFormat="1" applyFont="1" applyFill="1" applyBorder="1"/>
    <xf numFmtId="0" fontId="25" fillId="5" borderId="2" xfId="12" applyFont="1" applyFill="1" applyBorder="1"/>
    <xf numFmtId="0" fontId="26" fillId="5" borderId="2" xfId="12" applyFont="1" applyFill="1" applyBorder="1"/>
    <xf numFmtId="3" fontId="25" fillId="5" borderId="2" xfId="12" applyNumberFormat="1" applyFont="1" applyFill="1" applyBorder="1"/>
    <xf numFmtId="0" fontId="16" fillId="4" borderId="4" xfId="0" applyFont="1" applyFill="1" applyBorder="1" applyAlignment="1">
      <alignment horizontal="right"/>
    </xf>
    <xf numFmtId="3" fontId="16" fillId="4" borderId="4" xfId="0" applyNumberFormat="1" applyFont="1" applyFill="1" applyBorder="1"/>
    <xf numFmtId="0" fontId="27" fillId="5" borderId="2" xfId="0" applyFont="1" applyFill="1" applyBorder="1"/>
    <xf numFmtId="0" fontId="18" fillId="5" borderId="2" xfId="0" applyFont="1" applyFill="1" applyBorder="1"/>
    <xf numFmtId="0" fontId="28" fillId="8" borderId="0" xfId="12" applyFont="1" applyFill="1"/>
    <xf numFmtId="0" fontId="29" fillId="8" borderId="0" xfId="12" applyFont="1" applyFill="1"/>
    <xf numFmtId="3" fontId="28" fillId="8" borderId="0" xfId="12" applyNumberFormat="1" applyFont="1" applyFill="1"/>
    <xf numFmtId="3" fontId="18" fillId="4" borderId="1" xfId="0" applyNumberFormat="1" applyFont="1" applyFill="1" applyBorder="1"/>
    <xf numFmtId="0" fontId="30" fillId="5" borderId="2" xfId="12" applyFont="1" applyFill="1" applyBorder="1"/>
    <xf numFmtId="0" fontId="31" fillId="5" borderId="2" xfId="12" applyFont="1" applyFill="1" applyBorder="1"/>
    <xf numFmtId="3" fontId="30" fillId="5" borderId="2" xfId="12" applyNumberFormat="1" applyFont="1" applyFill="1" applyBorder="1"/>
    <xf numFmtId="0" fontId="27" fillId="4" borderId="4" xfId="0" applyFont="1" applyFill="1" applyBorder="1" applyAlignment="1">
      <alignment horizontal="right"/>
    </xf>
    <xf numFmtId="3" fontId="27" fillId="4" borderId="4" xfId="0" applyNumberFormat="1" applyFont="1" applyFill="1" applyBorder="1"/>
    <xf numFmtId="0" fontId="10" fillId="3" borderId="2" xfId="0" applyFont="1" applyFill="1" applyBorder="1"/>
    <xf numFmtId="0" fontId="2" fillId="3" borderId="2" xfId="0" applyFont="1" applyFill="1" applyBorder="1"/>
    <xf numFmtId="0" fontId="15" fillId="3" borderId="2" xfId="0" applyFont="1" applyFill="1" applyBorder="1"/>
    <xf numFmtId="0" fontId="12" fillId="5" borderId="0" xfId="0" applyFont="1" applyFill="1" applyAlignment="1">
      <alignment horizontal="center"/>
    </xf>
    <xf numFmtId="0" fontId="12" fillId="5" borderId="0" xfId="0" applyFont="1" applyFill="1" applyAlignment="1">
      <alignment horizontal="right"/>
    </xf>
    <xf numFmtId="0" fontId="19" fillId="8" borderId="0" xfId="12" applyFont="1" applyFill="1" applyAlignment="1">
      <alignment horizontal="left"/>
    </xf>
    <xf numFmtId="0" fontId="13" fillId="8" borderId="0" xfId="0" applyFont="1" applyFill="1" applyAlignment="1">
      <alignment horizontal="center"/>
    </xf>
    <xf numFmtId="164" fontId="13" fillId="8" borderId="0" xfId="1" applyNumberFormat="1" applyFont="1" applyFill="1" applyBorder="1"/>
    <xf numFmtId="0" fontId="19" fillId="8" borderId="0" xfId="12" quotePrefix="1" applyFont="1" applyFill="1" applyAlignment="1">
      <alignment horizontal="left"/>
    </xf>
    <xf numFmtId="0" fontId="32" fillId="8" borderId="0" xfId="12" applyFont="1" applyFill="1" applyAlignment="1">
      <alignment horizontal="center"/>
    </xf>
    <xf numFmtId="0" fontId="19" fillId="8" borderId="0" xfId="12" quotePrefix="1" applyFont="1" applyFill="1"/>
    <xf numFmtId="0" fontId="19" fillId="3" borderId="0" xfId="12" applyFont="1" applyFill="1" applyAlignment="1">
      <alignment horizontal="center"/>
    </xf>
    <xf numFmtId="0" fontId="19" fillId="5" borderId="0" xfId="12" applyFont="1" applyFill="1"/>
    <xf numFmtId="0" fontId="19" fillId="5" borderId="0" xfId="12" applyFont="1" applyFill="1" applyAlignment="1">
      <alignment horizontal="center"/>
    </xf>
    <xf numFmtId="3" fontId="19" fillId="5" borderId="0" xfId="12" applyNumberFormat="1" applyFont="1" applyFill="1"/>
    <xf numFmtId="0" fontId="19" fillId="4" borderId="0" xfId="12" applyFont="1" applyFill="1"/>
    <xf numFmtId="0" fontId="19" fillId="4" borderId="0" xfId="12" applyFont="1" applyFill="1" applyAlignment="1">
      <alignment horizontal="center"/>
    </xf>
    <xf numFmtId="3" fontId="32" fillId="4" borderId="0" xfId="12" applyNumberFormat="1" applyFont="1" applyFill="1"/>
    <xf numFmtId="3" fontId="19" fillId="4" borderId="0" xfId="12" applyNumberFormat="1" applyFont="1" applyFill="1"/>
    <xf numFmtId="0" fontId="12" fillId="7" borderId="1" xfId="0" applyFont="1" applyFill="1" applyBorder="1"/>
    <xf numFmtId="3" fontId="12" fillId="7" borderId="1" xfId="0" applyNumberFormat="1" applyFont="1" applyFill="1" applyBorder="1"/>
    <xf numFmtId="0" fontId="13" fillId="4" borderId="0" xfId="0" applyFont="1" applyFill="1"/>
    <xf numFmtId="164" fontId="13" fillId="4" borderId="0" xfId="0" applyNumberFormat="1" applyFont="1" applyFill="1"/>
    <xf numFmtId="0" fontId="14" fillId="2" borderId="0" xfId="0" applyFont="1" applyFill="1" applyAlignment="1">
      <alignment horizontal="right"/>
    </xf>
    <xf numFmtId="164" fontId="13" fillId="4" borderId="0" xfId="1" applyNumberFormat="1" applyFont="1" applyFill="1"/>
    <xf numFmtId="0" fontId="19" fillId="8" borderId="0" xfId="12" applyFont="1" applyFill="1" applyAlignment="1">
      <alignment horizontal="center"/>
    </xf>
    <xf numFmtId="3" fontId="28" fillId="2" borderId="0" xfId="12" applyNumberFormat="1" applyFont="1" applyFill="1"/>
    <xf numFmtId="0" fontId="34" fillId="3" borderId="0" xfId="0" applyFont="1" applyFill="1"/>
    <xf numFmtId="0" fontId="10" fillId="2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vertical="center"/>
    </xf>
    <xf numFmtId="0" fontId="19" fillId="4" borderId="0" xfId="3" applyFont="1" applyFill="1"/>
    <xf numFmtId="3" fontId="19" fillId="4" borderId="0" xfId="3" applyNumberFormat="1" applyFont="1" applyFill="1"/>
    <xf numFmtId="0" fontId="19" fillId="3" borderId="0" xfId="3" applyFont="1" applyFill="1"/>
    <xf numFmtId="0" fontId="21" fillId="5" borderId="2" xfId="3" applyFont="1" applyFill="1" applyBorder="1"/>
    <xf numFmtId="0" fontId="19" fillId="5" borderId="2" xfId="3" applyFont="1" applyFill="1" applyBorder="1"/>
    <xf numFmtId="0" fontId="35" fillId="4" borderId="0" xfId="5" applyFont="1" applyFill="1" applyAlignment="1">
      <alignment vertical="top"/>
    </xf>
    <xf numFmtId="0" fontId="35" fillId="3" borderId="0" xfId="5" applyFont="1" applyFill="1" applyAlignment="1">
      <alignment vertical="top"/>
    </xf>
    <xf numFmtId="0" fontId="35" fillId="5" borderId="2" xfId="5" applyFont="1" applyFill="1" applyBorder="1" applyAlignment="1">
      <alignment vertical="top"/>
    </xf>
    <xf numFmtId="3" fontId="19" fillId="5" borderId="2" xfId="12" applyNumberFormat="1" applyFont="1" applyFill="1" applyBorder="1"/>
    <xf numFmtId="0" fontId="35" fillId="4" borderId="0" xfId="5" applyFont="1" applyFill="1" applyAlignment="1">
      <alignment vertical="top" wrapText="1"/>
    </xf>
    <xf numFmtId="0" fontId="35" fillId="3" borderId="0" xfId="5" applyFont="1" applyFill="1" applyAlignment="1">
      <alignment vertical="top" wrapText="1"/>
    </xf>
    <xf numFmtId="0" fontId="35" fillId="4" borderId="0" xfId="5" applyFont="1" applyFill="1" applyAlignment="1">
      <alignment wrapText="1"/>
    </xf>
    <xf numFmtId="0" fontId="19" fillId="3" borderId="0" xfId="12" applyFont="1" applyFill="1" applyAlignment="1">
      <alignment wrapText="1"/>
    </xf>
    <xf numFmtId="0" fontId="19" fillId="5" borderId="2" xfId="12" applyFont="1" applyFill="1" applyBorder="1" applyAlignment="1">
      <alignment wrapText="1"/>
    </xf>
    <xf numFmtId="0" fontId="19" fillId="5" borderId="2" xfId="12" applyFont="1" applyFill="1" applyBorder="1"/>
    <xf numFmtId="0" fontId="19" fillId="4" borderId="0" xfId="12" applyFont="1" applyFill="1" applyAlignment="1">
      <alignment wrapText="1"/>
    </xf>
    <xf numFmtId="0" fontId="35" fillId="4" borderId="0" xfId="5" applyFont="1" applyFill="1"/>
    <xf numFmtId="0" fontId="35" fillId="3" borderId="0" xfId="5" applyFont="1" applyFill="1"/>
    <xf numFmtId="0" fontId="35" fillId="5" borderId="2" xfId="5" applyFont="1" applyFill="1" applyBorder="1"/>
    <xf numFmtId="3" fontId="8" fillId="8" borderId="0" xfId="12" applyNumberFormat="1" applyFont="1" applyFill="1"/>
    <xf numFmtId="0" fontId="9" fillId="8" borderId="0" xfId="12" applyFont="1" applyFill="1"/>
    <xf numFmtId="0" fontId="0" fillId="3" borderId="0" xfId="0" applyFill="1" applyAlignment="1">
      <alignment horizontal="right"/>
    </xf>
    <xf numFmtId="0" fontId="21" fillId="5" borderId="0" xfId="12" applyFont="1" applyFill="1"/>
    <xf numFmtId="3" fontId="19" fillId="6" borderId="4" xfId="12" applyNumberFormat="1" applyFont="1" applyFill="1" applyBorder="1"/>
    <xf numFmtId="3" fontId="13" fillId="6" borderId="4" xfId="0" applyNumberFormat="1" applyFont="1" applyFill="1" applyBorder="1"/>
    <xf numFmtId="164" fontId="19" fillId="4" borderId="0" xfId="1" applyNumberFormat="1" applyFont="1" applyFill="1" applyAlignment="1">
      <alignment horizontal="center"/>
    </xf>
    <xf numFmtId="164" fontId="19" fillId="4" borderId="0" xfId="1" applyNumberFormat="1" applyFont="1" applyFill="1"/>
    <xf numFmtId="164" fontId="19" fillId="3" borderId="0" xfId="1" applyNumberFormat="1" applyFont="1" applyFill="1"/>
    <xf numFmtId="164" fontId="19" fillId="5" borderId="2" xfId="1" applyNumberFormat="1" applyFont="1" applyFill="1" applyBorder="1"/>
    <xf numFmtId="0" fontId="37" fillId="10" borderId="2" xfId="0" applyFont="1" applyFill="1" applyBorder="1" applyAlignment="1">
      <alignment horizontal="left" vertical="center"/>
    </xf>
    <xf numFmtId="0" fontId="37" fillId="10" borderId="2" xfId="0" applyFont="1" applyFill="1" applyBorder="1" applyAlignment="1">
      <alignment vertical="center"/>
    </xf>
    <xf numFmtId="0" fontId="3" fillId="3" borderId="0" xfId="0" applyFont="1" applyFill="1"/>
    <xf numFmtId="0" fontId="38" fillId="3" borderId="0" xfId="0" applyFont="1" applyFill="1"/>
    <xf numFmtId="0" fontId="13" fillId="4" borderId="5" xfId="0" applyFont="1" applyFill="1" applyBorder="1"/>
    <xf numFmtId="164" fontId="13" fillId="4" borderId="5" xfId="1" applyNumberFormat="1" applyFont="1" applyFill="1" applyBorder="1"/>
    <xf numFmtId="0" fontId="12" fillId="9" borderId="6" xfId="0" applyFont="1" applyFill="1" applyBorder="1"/>
    <xf numFmtId="164" fontId="12" fillId="9" borderId="6" xfId="1" applyNumberFormat="1" applyFont="1" applyFill="1" applyBorder="1"/>
    <xf numFmtId="164" fontId="13" fillId="3" borderId="0" xfId="1" applyNumberFormat="1" applyFont="1" applyFill="1" applyBorder="1"/>
    <xf numFmtId="3" fontId="13" fillId="4" borderId="1" xfId="0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164" fontId="13" fillId="4" borderId="0" xfId="1" applyNumberFormat="1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164" fontId="13" fillId="4" borderId="1" xfId="0" applyNumberFormat="1" applyFont="1" applyFill="1" applyBorder="1" applyAlignment="1">
      <alignment horizontal="center"/>
    </xf>
    <xf numFmtId="3" fontId="2" fillId="4" borderId="1" xfId="0" applyNumberFormat="1" applyFont="1" applyFill="1" applyBorder="1"/>
    <xf numFmtId="164" fontId="13" fillId="5" borderId="2" xfId="1" applyNumberFormat="1" applyFont="1" applyFill="1" applyBorder="1"/>
    <xf numFmtId="164" fontId="12" fillId="7" borderId="1" xfId="1" applyNumberFormat="1" applyFont="1" applyFill="1" applyBorder="1"/>
    <xf numFmtId="164" fontId="38" fillId="4" borderId="0" xfId="1" applyNumberFormat="1" applyFont="1" applyFill="1"/>
    <xf numFmtId="164" fontId="0" fillId="3" borderId="2" xfId="1" applyNumberFormat="1" applyFont="1" applyFill="1" applyBorder="1"/>
    <xf numFmtId="0" fontId="16" fillId="3" borderId="0" xfId="0" applyFont="1" applyFill="1" applyAlignment="1">
      <alignment horizontal="center" wrapText="1"/>
    </xf>
    <xf numFmtId="0" fontId="33" fillId="3" borderId="0" xfId="0" applyFont="1" applyFill="1" applyAlignment="1">
      <alignment horizontal="center" wrapText="1"/>
    </xf>
  </cellXfs>
  <cellStyles count="18">
    <cellStyle name="Comma" xfId="1" builtinId="3"/>
    <cellStyle name="Comma 2" xfId="17" xr:uid="{15328CC9-0F4D-4B87-8B11-91C7BEC6C228}"/>
    <cellStyle name="Normal" xfId="0" builtinId="0"/>
    <cellStyle name="Normal 10" xfId="12" xr:uid="{DB4499D4-F389-4C02-8B78-6275A997A7C6}"/>
    <cellStyle name="Normal 11" xfId="13" xr:uid="{1321F7DD-EABF-4701-8761-5C8DE0AD6076}"/>
    <cellStyle name="Normal 12" xfId="14" xr:uid="{5985FF3A-C99F-473F-8E84-F018DD4B20B5}"/>
    <cellStyle name="Normal 13" xfId="15" xr:uid="{4CDFE59D-3649-4CFC-8E9D-D7FAFEFBD137}"/>
    <cellStyle name="Normal 14" xfId="3" xr:uid="{AF3EC149-9F76-40FA-9011-3FB99ED00337}"/>
    <cellStyle name="Normal 2" xfId="4" xr:uid="{C22BB4D5-0948-4E64-A0D5-08B2141BEA37}"/>
    <cellStyle name="Normal 3" xfId="5" xr:uid="{2468D3A7-8179-4D71-B1AF-3654322CBF09}"/>
    <cellStyle name="Normal 4" xfId="6" xr:uid="{55B79CDF-202D-4AFA-85D5-20D3961A5EE9}"/>
    <cellStyle name="Normal 5" xfId="7" xr:uid="{29FFB7A9-E93A-455C-AF94-DA8AE4C180AC}"/>
    <cellStyle name="Normal 6" xfId="8" xr:uid="{3FDFA852-B9B6-4D7E-81DB-C76C959054F9}"/>
    <cellStyle name="Normal 7" xfId="9" xr:uid="{C9B6726B-AD08-4EDF-BE11-015A22CED73C}"/>
    <cellStyle name="Normal 8" xfId="10" xr:uid="{9338E849-79D4-4A32-90C4-19EC12DEAA27}"/>
    <cellStyle name="Normal 9" xfId="11" xr:uid="{3EB567E1-C23B-4353-ABB8-D7344A09656E}"/>
    <cellStyle name="Percent" xfId="2" builtinId="5"/>
    <cellStyle name="Percent 2" xfId="16" xr:uid="{71626728-492C-4F4A-92C0-D2B1C9AF010D}"/>
  </cellStyles>
  <dxfs count="0"/>
  <tableStyles count="0" defaultTableStyle="TableStyleMedium2" defaultPivotStyle="PivotStyleLight16"/>
  <colors>
    <mruColors>
      <color rgb="FFFCF4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15737</xdr:colOff>
      <xdr:row>10</xdr:row>
      <xdr:rowOff>69850</xdr:rowOff>
    </xdr:from>
    <xdr:to>
      <xdr:col>11</xdr:col>
      <xdr:colOff>266475</xdr:colOff>
      <xdr:row>26</xdr:row>
      <xdr:rowOff>128499</xdr:rowOff>
    </xdr:to>
    <xdr:pic>
      <xdr:nvPicPr>
        <xdr:cNvPr id="2" name="Picture 1" descr="A screenshot of a spreadsheet&#10;&#10;AI-generated content may be incorrect.">
          <a:extLst>
            <a:ext uri="{FF2B5EF4-FFF2-40B4-BE49-F238E27FC236}">
              <a16:creationId xmlns:a16="http://schemas.microsoft.com/office/drawing/2014/main" id="{C8291860-0521-2847-4356-FBDD0D8BF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4837" y="1968500"/>
          <a:ext cx="5521238" cy="3005049"/>
        </a:xfrm>
        <a:prstGeom prst="rect">
          <a:avLst/>
        </a:prstGeom>
      </xdr:spPr>
    </xdr:pic>
    <xdr:clientData/>
  </xdr:twoCellAnchor>
  <xdr:twoCellAnchor editAs="oneCell">
    <xdr:from>
      <xdr:col>0</xdr:col>
      <xdr:colOff>279400</xdr:colOff>
      <xdr:row>27</xdr:row>
      <xdr:rowOff>114300</xdr:rowOff>
    </xdr:from>
    <xdr:to>
      <xdr:col>14</xdr:col>
      <xdr:colOff>464142</xdr:colOff>
      <xdr:row>32</xdr:row>
      <xdr:rowOff>31793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D24BB47-7853-5087-71A6-9D8612EB5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9400" y="5143500"/>
          <a:ext cx="11513142" cy="8382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B539-53E9-4D31-8663-17CD53C431E1}">
  <sheetPr>
    <tabColor rgb="FFFFC000"/>
  </sheetPr>
  <dimension ref="A1:N39"/>
  <sheetViews>
    <sheetView topLeftCell="A2" zoomScale="80" zoomScaleNormal="80" workbookViewId="0">
      <selection activeCell="N12" sqref="N12"/>
    </sheetView>
  </sheetViews>
  <sheetFormatPr defaultRowHeight="14.5" x14ac:dyDescent="0.35"/>
  <cols>
    <col min="1" max="1" width="6" customWidth="1"/>
    <col min="2" max="2" width="30.6328125" customWidth="1"/>
    <col min="3" max="3" width="12.36328125" bestFit="1" customWidth="1"/>
    <col min="4" max="4" width="3.1796875" customWidth="1"/>
    <col min="5" max="5" width="26.7265625" customWidth="1"/>
    <col min="6" max="6" width="13" customWidth="1"/>
    <col min="7" max="7" width="3.81640625" customWidth="1"/>
    <col min="8" max="8" width="27" customWidth="1"/>
    <col min="9" max="9" width="10.6328125" bestFit="1" customWidth="1"/>
  </cols>
  <sheetData>
    <row r="1" spans="1:14" ht="23.5" customHeight="1" x14ac:dyDescent="0.45">
      <c r="A1" s="1"/>
      <c r="B1" s="139" t="s">
        <v>149</v>
      </c>
      <c r="C1" s="140">
        <v>2026</v>
      </c>
      <c r="D1" s="38"/>
      <c r="E1" s="170" t="s">
        <v>184</v>
      </c>
      <c r="F1" s="171">
        <v>2026</v>
      </c>
      <c r="G1" s="172"/>
      <c r="H1" s="170" t="s">
        <v>185</v>
      </c>
      <c r="I1" s="171">
        <v>2026</v>
      </c>
      <c r="K1" s="1"/>
      <c r="L1" s="1"/>
      <c r="M1" s="1"/>
      <c r="N1" s="1"/>
    </row>
    <row r="2" spans="1:14" s="39" customFormat="1" ht="10" customHeight="1" x14ac:dyDescent="0.4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x14ac:dyDescent="0.35">
      <c r="A3" s="1"/>
      <c r="B3" s="70" t="s">
        <v>0</v>
      </c>
      <c r="C3" s="71"/>
      <c r="D3" s="1"/>
      <c r="E3" s="73" t="s">
        <v>0</v>
      </c>
      <c r="F3" s="74"/>
      <c r="G3" s="51"/>
      <c r="H3" s="73" t="s">
        <v>0</v>
      </c>
      <c r="I3" s="74"/>
      <c r="J3" s="1"/>
      <c r="K3" s="1"/>
      <c r="L3" s="1"/>
      <c r="M3" s="1"/>
      <c r="N3" s="1"/>
    </row>
    <row r="4" spans="1:14" x14ac:dyDescent="0.35">
      <c r="A4" s="1"/>
      <c r="B4" s="46" t="s">
        <v>1</v>
      </c>
      <c r="C4" s="47">
        <f t="shared" ref="C4:C11" si="0">F4+I4</f>
        <v>751310</v>
      </c>
      <c r="D4" s="1"/>
      <c r="E4" s="52" t="s">
        <v>1</v>
      </c>
      <c r="F4" s="53">
        <f>'NC dugnad'!H8</f>
        <v>699606.0893854748</v>
      </c>
      <c r="G4" s="51"/>
      <c r="H4" s="52" t="s">
        <v>1</v>
      </c>
      <c r="I4" s="53">
        <f>'NC dugnad'!L8</f>
        <v>51703.910614525143</v>
      </c>
      <c r="J4" s="1"/>
      <c r="K4" s="1"/>
      <c r="L4" s="1"/>
      <c r="M4" s="1"/>
      <c r="N4" s="1"/>
    </row>
    <row r="5" spans="1:14" x14ac:dyDescent="0.35">
      <c r="A5" s="1"/>
      <c r="B5" s="46" t="s">
        <v>10</v>
      </c>
      <c r="C5" s="47">
        <f t="shared" si="0"/>
        <v>200000</v>
      </c>
      <c r="D5" s="1"/>
      <c r="E5" s="52" t="s">
        <v>10</v>
      </c>
      <c r="F5" s="53">
        <f>'Andre inntekter'!H18</f>
        <v>200000</v>
      </c>
      <c r="G5" s="51"/>
      <c r="H5" s="52" t="s">
        <v>10</v>
      </c>
      <c r="I5" s="53">
        <f>'Andre inntekter'!L18</f>
        <v>0</v>
      </c>
      <c r="J5" s="1"/>
      <c r="K5" s="1"/>
      <c r="L5" s="1"/>
      <c r="M5" s="1"/>
      <c r="N5" s="1"/>
    </row>
    <row r="6" spans="1:14" x14ac:dyDescent="0.35">
      <c r="A6" s="1"/>
      <c r="B6" s="46" t="s">
        <v>2</v>
      </c>
      <c r="C6" s="47">
        <f t="shared" si="0"/>
        <v>449250</v>
      </c>
      <c r="D6" s="1"/>
      <c r="E6" s="52" t="s">
        <v>2</v>
      </c>
      <c r="F6" s="53">
        <f>Aktivitetsavgift!G22</f>
        <v>428450</v>
      </c>
      <c r="G6" s="51"/>
      <c r="H6" s="52" t="s">
        <v>2</v>
      </c>
      <c r="I6" s="53">
        <f>Aktivitetsavgift!G24</f>
        <v>20800</v>
      </c>
      <c r="J6" s="1"/>
      <c r="K6" s="1"/>
      <c r="L6" s="1"/>
      <c r="M6" s="1"/>
      <c r="N6" s="1"/>
    </row>
    <row r="7" spans="1:14" x14ac:dyDescent="0.35">
      <c r="A7" s="1"/>
      <c r="B7" s="46" t="s">
        <v>3</v>
      </c>
      <c r="C7" s="47">
        <f t="shared" si="0"/>
        <v>140000</v>
      </c>
      <c r="D7" s="1"/>
      <c r="E7" s="52" t="s">
        <v>3</v>
      </c>
      <c r="F7" s="53">
        <f>'Andre inntekter'!H9</f>
        <v>137765.36312849162</v>
      </c>
      <c r="G7" s="51"/>
      <c r="H7" s="52" t="s">
        <v>3</v>
      </c>
      <c r="I7" s="53">
        <f>'Andre inntekter'!L9</f>
        <v>2234.63687150838</v>
      </c>
      <c r="J7" s="1"/>
      <c r="K7" s="1"/>
      <c r="L7" s="1"/>
      <c r="M7" s="1"/>
      <c r="N7" s="1"/>
    </row>
    <row r="8" spans="1:14" x14ac:dyDescent="0.35">
      <c r="A8" s="1"/>
      <c r="B8" s="46" t="s">
        <v>8</v>
      </c>
      <c r="C8" s="47">
        <f t="shared" si="0"/>
        <v>39000</v>
      </c>
      <c r="D8" s="1"/>
      <c r="E8" s="52" t="s">
        <v>8</v>
      </c>
      <c r="F8" s="53">
        <f>'Andre inntekter'!H21+'Andre inntekter'!H22</f>
        <v>38463.687150837985</v>
      </c>
      <c r="G8" s="51"/>
      <c r="H8" s="52" t="s">
        <v>8</v>
      </c>
      <c r="I8" s="53">
        <f>'Andre inntekter'!L22</f>
        <v>536.31284916201184</v>
      </c>
      <c r="J8" s="1"/>
      <c r="K8" s="1"/>
      <c r="L8" s="1"/>
      <c r="M8" s="1"/>
      <c r="N8" s="1"/>
    </row>
    <row r="9" spans="1:14" x14ac:dyDescent="0.35">
      <c r="A9" s="1"/>
      <c r="B9" s="46" t="s">
        <v>4</v>
      </c>
      <c r="C9" s="47">
        <f t="shared" si="0"/>
        <v>30000</v>
      </c>
      <c r="D9" s="1"/>
      <c r="E9" s="52" t="s">
        <v>4</v>
      </c>
      <c r="F9" s="53">
        <f>'Andre inntekter'!H23</f>
        <v>30000</v>
      </c>
      <c r="G9" s="51"/>
      <c r="H9" s="52" t="s">
        <v>4</v>
      </c>
      <c r="I9" s="53">
        <f>'Andre inntekter'!M23</f>
        <v>0</v>
      </c>
      <c r="J9" s="1"/>
      <c r="K9" s="1"/>
      <c r="L9" s="1"/>
      <c r="M9" s="1"/>
      <c r="N9" s="1"/>
    </row>
    <row r="10" spans="1:14" x14ac:dyDescent="0.35">
      <c r="A10" s="1"/>
      <c r="B10" s="46" t="s">
        <v>5</v>
      </c>
      <c r="C10" s="47">
        <f t="shared" si="0"/>
        <v>20000</v>
      </c>
      <c r="D10" s="1"/>
      <c r="E10" s="52" t="s">
        <v>5</v>
      </c>
      <c r="F10" s="53">
        <f>'Andre inntekter'!H14</f>
        <v>20000</v>
      </c>
      <c r="G10" s="51"/>
      <c r="H10" s="52" t="s">
        <v>5</v>
      </c>
      <c r="I10" s="53">
        <f>'Andre inntekter'!M14</f>
        <v>0</v>
      </c>
      <c r="J10" s="1"/>
      <c r="K10" s="1"/>
      <c r="L10" s="1"/>
      <c r="M10" s="1"/>
      <c r="N10" s="1"/>
    </row>
    <row r="11" spans="1:14" x14ac:dyDescent="0.35">
      <c r="A11" s="1"/>
      <c r="B11" s="46" t="s">
        <v>9</v>
      </c>
      <c r="C11" s="47">
        <f t="shared" si="0"/>
        <v>100000</v>
      </c>
      <c r="D11" s="1"/>
      <c r="E11" s="52" t="s">
        <v>9</v>
      </c>
      <c r="F11" s="53">
        <f>'Andre inntekter'!H24</f>
        <v>97765.363128491619</v>
      </c>
      <c r="G11" s="51"/>
      <c r="H11" s="52" t="s">
        <v>9</v>
      </c>
      <c r="I11" s="53">
        <f>'Andre inntekter'!L24</f>
        <v>2234.63687150838</v>
      </c>
      <c r="J11" s="1"/>
      <c r="K11" s="1"/>
      <c r="L11" s="1"/>
      <c r="M11" s="1"/>
      <c r="N11" s="1"/>
    </row>
    <row r="12" spans="1:14" ht="15" thickBot="1" x14ac:dyDescent="0.4">
      <c r="A12" s="1"/>
      <c r="B12" s="43" t="s">
        <v>7</v>
      </c>
      <c r="C12" s="44">
        <f>SUM(C4:C11)</f>
        <v>1729560</v>
      </c>
      <c r="D12" s="1"/>
      <c r="E12" s="54" t="s">
        <v>7</v>
      </c>
      <c r="F12" s="55">
        <f>SUM(F4:F11)</f>
        <v>1652050.5027932962</v>
      </c>
      <c r="G12" s="51"/>
      <c r="H12" s="54" t="s">
        <v>7</v>
      </c>
      <c r="I12" s="55">
        <f>SUM(I4:I11)</f>
        <v>77509.49720670392</v>
      </c>
      <c r="J12" s="1"/>
      <c r="K12" s="1"/>
      <c r="L12" s="1"/>
      <c r="M12" s="1"/>
      <c r="N12" s="1"/>
    </row>
    <row r="13" spans="1:14" x14ac:dyDescent="0.35">
      <c r="A13" s="1"/>
      <c r="B13" s="42"/>
      <c r="C13" s="42"/>
      <c r="D13" s="1"/>
      <c r="E13" s="51"/>
      <c r="F13" s="56"/>
      <c r="G13" s="51"/>
      <c r="H13" s="51"/>
      <c r="I13" s="56"/>
      <c r="J13" s="1"/>
      <c r="K13" s="1"/>
      <c r="L13" s="1"/>
      <c r="M13" s="1"/>
      <c r="N13" s="1"/>
    </row>
    <row r="14" spans="1:14" x14ac:dyDescent="0.35">
      <c r="A14" s="1"/>
      <c r="B14" s="70" t="s">
        <v>11</v>
      </c>
      <c r="C14" s="71"/>
      <c r="D14" s="1"/>
      <c r="E14" s="73" t="s">
        <v>11</v>
      </c>
      <c r="F14" s="75"/>
      <c r="G14" s="51"/>
      <c r="H14" s="73" t="s">
        <v>11</v>
      </c>
      <c r="I14" s="75"/>
      <c r="J14" s="1"/>
      <c r="K14" s="1"/>
      <c r="L14" s="1"/>
      <c r="M14" s="1"/>
      <c r="N14" s="1"/>
    </row>
    <row r="15" spans="1:14" x14ac:dyDescent="0.35">
      <c r="A15" s="1"/>
      <c r="B15" s="46" t="s">
        <v>59</v>
      </c>
      <c r="C15" s="47">
        <f>F15+I15</f>
        <v>744030</v>
      </c>
      <c r="D15" s="1"/>
      <c r="E15" s="52" t="s">
        <v>59</v>
      </c>
      <c r="F15" s="53">
        <f>Lønn!D20</f>
        <v>744030</v>
      </c>
      <c r="G15" s="57"/>
      <c r="H15" s="52" t="s">
        <v>59</v>
      </c>
      <c r="I15" s="53">
        <f>Lønn!H6</f>
        <v>0</v>
      </c>
      <c r="J15" s="1"/>
      <c r="K15" s="1"/>
      <c r="L15" s="1"/>
      <c r="M15" s="1"/>
      <c r="N15" s="1"/>
    </row>
    <row r="16" spans="1:14" x14ac:dyDescent="0.35">
      <c r="A16" s="1"/>
      <c r="B16" s="46" t="s">
        <v>20</v>
      </c>
      <c r="C16" s="47">
        <f>F16+I16</f>
        <v>164300</v>
      </c>
      <c r="D16" s="1"/>
      <c r="E16" s="52" t="s">
        <v>20</v>
      </c>
      <c r="F16" s="53">
        <f>Anlegg!D20</f>
        <v>164300</v>
      </c>
      <c r="G16" s="57"/>
      <c r="H16" s="52" t="s">
        <v>20</v>
      </c>
      <c r="I16" s="53">
        <f>Anlegg!O20</f>
        <v>0</v>
      </c>
      <c r="J16" s="1"/>
      <c r="K16" s="1"/>
      <c r="L16" s="1"/>
      <c r="M16" s="1"/>
      <c r="N16" s="1"/>
    </row>
    <row r="17" spans="1:14" x14ac:dyDescent="0.35">
      <c r="A17" s="1"/>
      <c r="B17" s="46" t="s">
        <v>227</v>
      </c>
      <c r="C17" s="47">
        <f>F17+I17</f>
        <v>851962</v>
      </c>
      <c r="D17" s="1"/>
      <c r="E17" s="52" t="s">
        <v>182</v>
      </c>
      <c r="F17" s="53">
        <f>'Sportslig aktivitet - langrenn'!D56</f>
        <v>773000</v>
      </c>
      <c r="G17" s="57"/>
      <c r="H17" s="52" t="s">
        <v>183</v>
      </c>
      <c r="I17" s="53">
        <f>'Sportslig aktivitet - telemark'!D20</f>
        <v>78962</v>
      </c>
      <c r="J17" s="1"/>
      <c r="K17" s="1"/>
      <c r="L17" s="1"/>
      <c r="M17" s="1"/>
      <c r="N17" s="1"/>
    </row>
    <row r="18" spans="1:14" x14ac:dyDescent="0.35">
      <c r="A18" s="1"/>
      <c r="B18" s="46" t="s">
        <v>144</v>
      </c>
      <c r="C18" s="47">
        <f>F18+I18</f>
        <v>78500</v>
      </c>
      <c r="D18" s="1"/>
      <c r="E18" s="52" t="s">
        <v>228</v>
      </c>
      <c r="F18" s="53">
        <f>'Arrangement Langrenn'!D28</f>
        <v>78500</v>
      </c>
      <c r="G18" s="57"/>
      <c r="H18" s="52" t="s">
        <v>229</v>
      </c>
      <c r="I18" s="53">
        <f>'Arrangement Langrenn'!J28</f>
        <v>0</v>
      </c>
      <c r="J18" s="1"/>
      <c r="K18" s="1"/>
      <c r="L18" s="1"/>
      <c r="M18" s="1"/>
      <c r="N18" s="1"/>
    </row>
    <row r="19" spans="1:14" ht="15" thickBot="1" x14ac:dyDescent="0.4">
      <c r="A19" s="1"/>
      <c r="B19" s="174" t="s">
        <v>51</v>
      </c>
      <c r="C19" s="175">
        <f>SUM(C15:C18)</f>
        <v>1838792</v>
      </c>
      <c r="D19" s="1"/>
      <c r="E19" s="58" t="s">
        <v>51</v>
      </c>
      <c r="F19" s="55">
        <f>SUM(F15:F18)</f>
        <v>1759830</v>
      </c>
      <c r="G19" s="51"/>
      <c r="H19" s="58" t="s">
        <v>51</v>
      </c>
      <c r="I19" s="55">
        <f>SUM(I15:I18)</f>
        <v>78962</v>
      </c>
      <c r="J19" s="1"/>
      <c r="K19" s="1"/>
      <c r="L19" s="1"/>
      <c r="M19" s="1"/>
      <c r="N19" s="1"/>
    </row>
    <row r="20" spans="1:14" x14ac:dyDescent="0.35">
      <c r="A20" s="1"/>
      <c r="B20" s="42"/>
      <c r="C20" s="178"/>
      <c r="D20" s="1"/>
      <c r="E20" s="59"/>
      <c r="F20" s="60"/>
      <c r="G20" s="51"/>
      <c r="H20" s="59"/>
      <c r="I20" s="60"/>
      <c r="J20" s="1"/>
      <c r="K20" s="1"/>
      <c r="L20" s="1"/>
      <c r="M20" s="1"/>
      <c r="N20" s="1"/>
    </row>
    <row r="21" spans="1:14" ht="15" thickBot="1" x14ac:dyDescent="0.4">
      <c r="A21" s="1"/>
      <c r="B21" s="176" t="s">
        <v>136</v>
      </c>
      <c r="C21" s="177">
        <f>C12-C19</f>
        <v>-109232</v>
      </c>
      <c r="D21" s="1"/>
      <c r="E21" s="61" t="s">
        <v>136</v>
      </c>
      <c r="F21" s="62">
        <f>F12-F19</f>
        <v>-107779.49720670376</v>
      </c>
      <c r="G21" s="51"/>
      <c r="H21" s="61" t="s">
        <v>136</v>
      </c>
      <c r="I21" s="62">
        <f>I12-I19</f>
        <v>-1452.5027932960802</v>
      </c>
      <c r="J21" s="1"/>
      <c r="K21" s="1"/>
      <c r="L21" s="1"/>
      <c r="M21" s="1"/>
      <c r="N21" s="1"/>
    </row>
    <row r="22" spans="1:14" x14ac:dyDescent="0.35">
      <c r="A22" s="1"/>
      <c r="B22" s="42"/>
      <c r="C22" s="42"/>
      <c r="D22" s="1"/>
      <c r="E22" s="59"/>
      <c r="F22" s="60"/>
      <c r="G22" s="51"/>
      <c r="H22" s="59"/>
      <c r="I22" s="60"/>
      <c r="J22" s="1"/>
      <c r="K22" s="1"/>
      <c r="L22" s="1"/>
      <c r="M22" s="1"/>
      <c r="N22" s="1"/>
    </row>
    <row r="23" spans="1:14" x14ac:dyDescent="0.35">
      <c r="A23" s="1"/>
      <c r="B23" s="46" t="s">
        <v>112</v>
      </c>
      <c r="C23" s="47">
        <f>F23+I23</f>
        <v>75000</v>
      </c>
      <c r="D23" s="1"/>
      <c r="E23" s="63" t="s">
        <v>112</v>
      </c>
      <c r="F23" s="64">
        <f>Finans!E3*(175/179)</f>
        <v>73324.022346368714</v>
      </c>
      <c r="G23" s="51"/>
      <c r="H23" s="63" t="s">
        <v>112</v>
      </c>
      <c r="I23" s="64">
        <f>Finans!E3*(4/179)</f>
        <v>1675.977653631285</v>
      </c>
      <c r="J23" s="1"/>
      <c r="K23" s="1"/>
      <c r="L23" s="1"/>
      <c r="M23" s="1"/>
      <c r="N23" s="1"/>
    </row>
    <row r="24" spans="1:14" x14ac:dyDescent="0.35">
      <c r="A24" s="1"/>
      <c r="B24" s="46" t="s">
        <v>113</v>
      </c>
      <c r="C24" s="47">
        <f>F24+I24</f>
        <v>10000</v>
      </c>
      <c r="D24" s="1"/>
      <c r="E24" s="63" t="s">
        <v>113</v>
      </c>
      <c r="F24" s="64">
        <f>Finans!E6*(175/179)</f>
        <v>9776.5363128491626</v>
      </c>
      <c r="G24" s="51"/>
      <c r="H24" s="63" t="s">
        <v>113</v>
      </c>
      <c r="I24" s="64">
        <f>Finans!E6*(4/179)</f>
        <v>223.46368715083798</v>
      </c>
      <c r="J24" s="1"/>
      <c r="K24" s="1"/>
      <c r="L24" s="1"/>
      <c r="M24" s="1"/>
      <c r="N24" s="1"/>
    </row>
    <row r="25" spans="1:14" x14ac:dyDescent="0.35">
      <c r="A25" s="1"/>
      <c r="B25" s="48" t="s">
        <v>114</v>
      </c>
      <c r="C25" s="49">
        <f>C23-C24</f>
        <v>65000</v>
      </c>
      <c r="D25" s="1"/>
      <c r="E25" s="65" t="s">
        <v>114</v>
      </c>
      <c r="F25" s="66">
        <f>F23-F24</f>
        <v>63547.486033519555</v>
      </c>
      <c r="G25" s="51"/>
      <c r="H25" s="65" t="s">
        <v>114</v>
      </c>
      <c r="I25" s="66">
        <f>I23-I24</f>
        <v>1452.5139664804469</v>
      </c>
      <c r="J25" s="1"/>
      <c r="K25" s="1"/>
      <c r="L25" s="1"/>
      <c r="M25" s="1"/>
      <c r="N25" s="1"/>
    </row>
    <row r="26" spans="1:14" x14ac:dyDescent="0.35">
      <c r="A26" s="1"/>
      <c r="B26" s="42"/>
      <c r="C26" s="42"/>
      <c r="D26" s="1"/>
      <c r="E26" s="59"/>
      <c r="F26" s="60"/>
      <c r="G26" s="51"/>
      <c r="H26" s="59"/>
      <c r="I26" s="60"/>
      <c r="J26" s="1"/>
      <c r="K26" s="1"/>
      <c r="L26" s="1"/>
      <c r="M26" s="1"/>
      <c r="N26" s="1"/>
    </row>
    <row r="27" spans="1:14" ht="15" thickBot="1" x14ac:dyDescent="0.4">
      <c r="A27" s="1"/>
      <c r="B27" s="50" t="s">
        <v>115</v>
      </c>
      <c r="C27" s="69">
        <f>C12-C19+C25</f>
        <v>-44232</v>
      </c>
      <c r="D27" s="1"/>
      <c r="E27" s="67" t="s">
        <v>115</v>
      </c>
      <c r="F27" s="68">
        <f>F12-F19+F25</f>
        <v>-44232.011173184204</v>
      </c>
      <c r="G27" s="51"/>
      <c r="H27" s="67" t="s">
        <v>115</v>
      </c>
      <c r="I27" s="68">
        <f>I12-I19+I25</f>
        <v>1.1173184366725764E-2</v>
      </c>
      <c r="J27" s="1"/>
      <c r="K27" s="1"/>
      <c r="L27" s="1"/>
      <c r="M27" s="1"/>
      <c r="N27" s="1"/>
    </row>
    <row r="28" spans="1:14" ht="15" thickTop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35">
      <c r="G39" s="1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E88CD-28C7-4659-BEF8-4DAEE3FDFD68}">
  <sheetPr>
    <tabColor theme="5" tint="0.39997558519241921"/>
  </sheetPr>
  <dimension ref="B1:E14"/>
  <sheetViews>
    <sheetView workbookViewId="0"/>
  </sheetViews>
  <sheetFormatPr defaultColWidth="8.7265625" defaultRowHeight="14.5" x14ac:dyDescent="0.35"/>
  <cols>
    <col min="1" max="1" width="8.7265625" style="1"/>
    <col min="2" max="2" width="36.54296875" style="1" customWidth="1"/>
    <col min="3" max="3" width="37.26953125" style="1" customWidth="1"/>
    <col min="4" max="16384" width="8.7265625" style="1"/>
  </cols>
  <sheetData>
    <row r="1" spans="2:5" x14ac:dyDescent="0.35">
      <c r="B1" s="5" t="s">
        <v>165</v>
      </c>
      <c r="C1" s="6"/>
      <c r="D1" s="6"/>
      <c r="E1" s="6"/>
    </row>
    <row r="2" spans="2:5" x14ac:dyDescent="0.35">
      <c r="B2" s="2"/>
      <c r="C2" s="2"/>
      <c r="D2" s="23"/>
      <c r="E2" s="3"/>
    </row>
    <row r="3" spans="2:5" x14ac:dyDescent="0.35">
      <c r="B3" s="22" t="s">
        <v>167</v>
      </c>
      <c r="C3" s="27"/>
      <c r="D3" s="28"/>
      <c r="E3" s="26"/>
    </row>
    <row r="4" spans="2:5" x14ac:dyDescent="0.35">
      <c r="B4" s="20"/>
      <c r="C4" s="20"/>
      <c r="D4" s="25"/>
      <c r="E4" s="21"/>
    </row>
    <row r="5" spans="2:5" x14ac:dyDescent="0.35">
      <c r="B5" s="20"/>
      <c r="C5" s="20"/>
      <c r="D5" s="25"/>
      <c r="E5" s="21"/>
    </row>
    <row r="6" spans="2:5" x14ac:dyDescent="0.35">
      <c r="B6" s="20"/>
      <c r="C6" s="20"/>
      <c r="D6" s="25"/>
      <c r="E6" s="21"/>
    </row>
    <row r="7" spans="2:5" x14ac:dyDescent="0.35">
      <c r="B7" s="2"/>
      <c r="C7" s="2"/>
      <c r="D7" s="23"/>
      <c r="E7" s="29">
        <f>SUM(E4:E6)</f>
        <v>0</v>
      </c>
    </row>
    <row r="8" spans="2:5" x14ac:dyDescent="0.35">
      <c r="B8" s="2" t="s">
        <v>25</v>
      </c>
      <c r="C8" s="2"/>
      <c r="D8" s="23"/>
      <c r="E8" s="3"/>
    </row>
    <row r="9" spans="2:5" x14ac:dyDescent="0.35">
      <c r="B9" s="22" t="s">
        <v>166</v>
      </c>
      <c r="C9" s="27"/>
      <c r="D9" s="28"/>
      <c r="E9" s="26"/>
    </row>
    <row r="10" spans="2:5" x14ac:dyDescent="0.35">
      <c r="B10" s="20"/>
      <c r="C10" s="20"/>
      <c r="D10" s="25"/>
      <c r="E10" s="21"/>
    </row>
    <row r="11" spans="2:5" x14ac:dyDescent="0.35">
      <c r="B11" s="20"/>
      <c r="C11" s="20"/>
      <c r="D11" s="25"/>
      <c r="E11" s="21"/>
    </row>
    <row r="12" spans="2:5" x14ac:dyDescent="0.35">
      <c r="E12" s="30">
        <f>SUM(E10:E11)</f>
        <v>0</v>
      </c>
    </row>
    <row r="14" spans="2:5" ht="15" thickBot="1" x14ac:dyDescent="0.4">
      <c r="C14" s="31" t="s">
        <v>94</v>
      </c>
      <c r="D14" s="32"/>
      <c r="E14" s="33">
        <f>E7+E12</f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2D783-A639-4757-A29E-E14C4C35A477}">
  <sheetPr>
    <tabColor rgb="FF92D050"/>
  </sheetPr>
  <dimension ref="B2:I6"/>
  <sheetViews>
    <sheetView workbookViewId="0"/>
  </sheetViews>
  <sheetFormatPr defaultColWidth="8.7265625" defaultRowHeight="14.5" x14ac:dyDescent="0.35"/>
  <cols>
    <col min="1" max="1" width="8.7265625" style="1"/>
    <col min="2" max="2" width="26.1796875" style="1" customWidth="1"/>
    <col min="3" max="3" width="20.1796875" style="1" customWidth="1"/>
    <col min="4" max="5" width="8.7265625" style="1"/>
    <col min="6" max="6" width="3.81640625" style="1" customWidth="1"/>
    <col min="7" max="7" width="11.54296875" style="1" customWidth="1"/>
    <col min="8" max="8" width="12.453125" style="1" bestFit="1" customWidth="1"/>
    <col min="9" max="9" width="8.81640625" style="1" bestFit="1" customWidth="1"/>
    <col min="10" max="10" width="11" style="1" bestFit="1" customWidth="1"/>
    <col min="11" max="16384" width="8.7265625" style="1"/>
  </cols>
  <sheetData>
    <row r="2" spans="2:9" x14ac:dyDescent="0.35">
      <c r="B2" s="24" t="s">
        <v>112</v>
      </c>
      <c r="C2" s="34"/>
      <c r="D2" s="34"/>
      <c r="E2" s="34"/>
    </row>
    <row r="3" spans="2:9" x14ac:dyDescent="0.35">
      <c r="B3" s="20" t="s">
        <v>99</v>
      </c>
      <c r="C3" s="20"/>
      <c r="D3" s="25"/>
      <c r="E3" s="21">
        <v>75000</v>
      </c>
      <c r="G3" s="36">
        <v>3000000</v>
      </c>
      <c r="H3" s="35">
        <f>3%</f>
        <v>0.03</v>
      </c>
      <c r="I3" s="36">
        <f>G3*H3</f>
        <v>90000</v>
      </c>
    </row>
    <row r="5" spans="2:9" x14ac:dyDescent="0.35">
      <c r="B5" s="24" t="s">
        <v>113</v>
      </c>
      <c r="C5" s="34"/>
      <c r="D5" s="34"/>
      <c r="E5" s="34"/>
    </row>
    <row r="6" spans="2:9" x14ac:dyDescent="0.35">
      <c r="B6" s="20" t="s">
        <v>97</v>
      </c>
      <c r="C6" s="20" t="s">
        <v>98</v>
      </c>
      <c r="D6" s="25"/>
      <c r="E6" s="21">
        <v>10000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258E1-C54D-49D5-9A84-C1B2655C0D60}">
  <sheetPr>
    <tabColor theme="4" tint="0.39997558519241921"/>
  </sheetPr>
  <dimension ref="B1:M39"/>
  <sheetViews>
    <sheetView workbookViewId="0">
      <selection activeCell="H34" sqref="H34"/>
    </sheetView>
  </sheetViews>
  <sheetFormatPr defaultRowHeight="14.5" x14ac:dyDescent="0.35"/>
  <cols>
    <col min="1" max="1" width="8.7265625" style="1"/>
    <col min="2" max="2" width="15.90625" style="1" customWidth="1"/>
    <col min="3" max="3" width="18.1796875" style="1" customWidth="1"/>
    <col min="4" max="4" width="9" style="1" bestFit="1" customWidth="1"/>
    <col min="5" max="5" width="8.7265625" style="1"/>
    <col min="6" max="6" width="13.26953125" style="1" customWidth="1"/>
    <col min="7" max="7" width="14" style="1" customWidth="1"/>
    <col min="8" max="9" width="8.7265625" style="1"/>
    <col min="10" max="10" width="16.81640625" style="1" customWidth="1"/>
    <col min="11" max="11" width="13.90625" style="1" customWidth="1"/>
    <col min="12" max="16384" width="8.7265625" style="1"/>
  </cols>
  <sheetData>
    <row r="1" spans="2:13" ht="18.5" x14ac:dyDescent="0.45">
      <c r="B1" s="111" t="s">
        <v>193</v>
      </c>
      <c r="C1" s="112"/>
      <c r="D1" s="112"/>
      <c r="E1" s="72"/>
      <c r="F1" s="113" t="s">
        <v>184</v>
      </c>
      <c r="G1" s="72"/>
      <c r="H1" s="72"/>
      <c r="I1" s="72"/>
      <c r="J1" s="113" t="s">
        <v>185</v>
      </c>
      <c r="K1" s="72"/>
      <c r="L1" s="72"/>
    </row>
    <row r="3" spans="2:13" x14ac:dyDescent="0.35">
      <c r="B3" s="70" t="s">
        <v>0</v>
      </c>
      <c r="C3" s="71"/>
      <c r="D3" s="71"/>
      <c r="F3" s="73" t="s">
        <v>0</v>
      </c>
      <c r="G3" s="101"/>
      <c r="H3" s="101"/>
      <c r="J3" s="73" t="s">
        <v>0</v>
      </c>
      <c r="K3" s="74"/>
      <c r="L3" s="74"/>
    </row>
    <row r="4" spans="2:13" x14ac:dyDescent="0.35">
      <c r="B4" s="78" t="s">
        <v>200</v>
      </c>
      <c r="C4" s="79" t="s">
        <v>212</v>
      </c>
      <c r="D4" s="80">
        <v>300000</v>
      </c>
      <c r="F4" s="102" t="s">
        <v>200</v>
      </c>
      <c r="G4" s="103" t="s">
        <v>201</v>
      </c>
      <c r="H4" s="104">
        <f>D4*(175/179)</f>
        <v>293296.08938547486</v>
      </c>
      <c r="I4" s="57"/>
      <c r="J4" s="102" t="s">
        <v>200</v>
      </c>
      <c r="K4" s="103" t="s">
        <v>201</v>
      </c>
      <c r="L4" s="104">
        <f>D4*(4/179)</f>
        <v>6703.9106145251399</v>
      </c>
    </row>
    <row r="5" spans="2:13" x14ac:dyDescent="0.35">
      <c r="B5" s="78" t="s">
        <v>202</v>
      </c>
      <c r="C5" s="79" t="s">
        <v>205</v>
      </c>
      <c r="D5" s="80">
        <f>D10*D12</f>
        <v>265950</v>
      </c>
      <c r="F5" s="102" t="s">
        <v>202</v>
      </c>
      <c r="G5" s="103" t="s">
        <v>205</v>
      </c>
      <c r="H5" s="104">
        <f>D5-L5</f>
        <v>235950</v>
      </c>
      <c r="I5" s="57"/>
      <c r="J5" s="102" t="s">
        <v>202</v>
      </c>
      <c r="K5" s="103" t="s">
        <v>205</v>
      </c>
      <c r="L5" s="137">
        <v>30000</v>
      </c>
      <c r="M5" s="138" t="s">
        <v>210</v>
      </c>
    </row>
    <row r="6" spans="2:13" x14ac:dyDescent="0.35">
      <c r="B6" s="78" t="s">
        <v>203</v>
      </c>
      <c r="C6" s="79" t="s">
        <v>204</v>
      </c>
      <c r="D6" s="80">
        <f>D11*D13</f>
        <v>85360</v>
      </c>
      <c r="F6" s="102" t="s">
        <v>203</v>
      </c>
      <c r="G6" s="103" t="s">
        <v>204</v>
      </c>
      <c r="H6" s="104">
        <f>D6</f>
        <v>85360</v>
      </c>
      <c r="I6" s="57"/>
      <c r="J6" s="102" t="s">
        <v>203</v>
      </c>
      <c r="K6" s="103" t="s">
        <v>204</v>
      </c>
      <c r="L6" s="104">
        <v>0</v>
      </c>
    </row>
    <row r="7" spans="2:13" x14ac:dyDescent="0.35">
      <c r="B7" s="78" t="s">
        <v>50</v>
      </c>
      <c r="C7" s="79" t="s">
        <v>211</v>
      </c>
      <c r="D7" s="80">
        <v>100000</v>
      </c>
      <c r="F7" s="102" t="s">
        <v>50</v>
      </c>
      <c r="G7" s="103" t="s">
        <v>211</v>
      </c>
      <c r="H7" s="104">
        <f>D7-L7</f>
        <v>85000</v>
      </c>
      <c r="I7" s="57"/>
      <c r="J7" s="102" t="s">
        <v>50</v>
      </c>
      <c r="K7" s="103" t="s">
        <v>211</v>
      </c>
      <c r="L7" s="137">
        <v>15000</v>
      </c>
      <c r="M7" s="138" t="s">
        <v>210</v>
      </c>
    </row>
    <row r="8" spans="2:13" ht="15" thickBot="1" x14ac:dyDescent="0.4">
      <c r="B8" s="81" t="s">
        <v>25</v>
      </c>
      <c r="C8" s="82"/>
      <c r="D8" s="83">
        <f>SUM(D4:D7)</f>
        <v>751310</v>
      </c>
      <c r="F8" s="57"/>
      <c r="G8" s="57"/>
      <c r="H8" s="105">
        <f>SUM(H4:H7)</f>
        <v>699606.0893854748</v>
      </c>
      <c r="J8" s="51"/>
      <c r="K8" s="51"/>
      <c r="L8" s="94">
        <f>SUM(L4:L7)</f>
        <v>51703.910614525143</v>
      </c>
    </row>
    <row r="10" spans="2:13" x14ac:dyDescent="0.35">
      <c r="B10" s="42" t="s">
        <v>206</v>
      </c>
      <c r="C10" s="42"/>
      <c r="D10" s="45">
        <v>1773</v>
      </c>
    </row>
    <row r="11" spans="2:13" x14ac:dyDescent="0.35">
      <c r="B11" s="42" t="s">
        <v>207</v>
      </c>
      <c r="C11" s="42"/>
      <c r="D11" s="45">
        <v>1067</v>
      </c>
    </row>
    <row r="12" spans="2:13" x14ac:dyDescent="0.35">
      <c r="B12" s="42" t="s">
        <v>208</v>
      </c>
      <c r="C12" s="42"/>
      <c r="D12" s="45">
        <v>150</v>
      </c>
    </row>
    <row r="13" spans="2:13" x14ac:dyDescent="0.35">
      <c r="B13" s="42" t="s">
        <v>209</v>
      </c>
      <c r="C13" s="42"/>
      <c r="D13" s="45">
        <v>80</v>
      </c>
    </row>
    <row r="15" spans="2:13" x14ac:dyDescent="0.35">
      <c r="B15" s="1" t="s">
        <v>213</v>
      </c>
    </row>
    <row r="34" spans="8:11" x14ac:dyDescent="0.35">
      <c r="H34" s="1" t="s">
        <v>238</v>
      </c>
      <c r="I34" s="1">
        <f>10*10</f>
        <v>100</v>
      </c>
      <c r="J34" s="1">
        <v>150</v>
      </c>
      <c r="K34" s="36">
        <f>I34*J34</f>
        <v>15000</v>
      </c>
    </row>
    <row r="35" spans="8:11" x14ac:dyDescent="0.35">
      <c r="H35" s="1" t="s">
        <v>239</v>
      </c>
      <c r="I35" s="1">
        <f>4*8</f>
        <v>32</v>
      </c>
      <c r="J35" s="1">
        <v>150</v>
      </c>
      <c r="K35" s="36">
        <f>I35*J35</f>
        <v>4800</v>
      </c>
    </row>
    <row r="36" spans="8:11" x14ac:dyDescent="0.35">
      <c r="H36" s="1" t="s">
        <v>240</v>
      </c>
      <c r="I36" s="1">
        <f>10*10</f>
        <v>100</v>
      </c>
      <c r="J36" s="1">
        <v>150</v>
      </c>
      <c r="K36" s="36">
        <f>I36*J36</f>
        <v>15000</v>
      </c>
    </row>
    <row r="37" spans="8:11" x14ac:dyDescent="0.35">
      <c r="H37" s="1" t="s">
        <v>241</v>
      </c>
      <c r="I37" s="1">
        <f>1*8</f>
        <v>8</v>
      </c>
      <c r="J37" s="1">
        <v>150</v>
      </c>
      <c r="K37" s="36">
        <f>I37*J37</f>
        <v>1200</v>
      </c>
    </row>
    <row r="38" spans="8:11" x14ac:dyDescent="0.35">
      <c r="H38" s="1" t="s">
        <v>242</v>
      </c>
      <c r="I38" s="72">
        <f>2*8</f>
        <v>16</v>
      </c>
      <c r="J38" s="72">
        <v>150</v>
      </c>
      <c r="K38" s="188">
        <f>I38*J38</f>
        <v>2400</v>
      </c>
    </row>
    <row r="39" spans="8:11" x14ac:dyDescent="0.35">
      <c r="K39" s="36">
        <f>SUM(K34:K38)</f>
        <v>38400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333E0-A390-4BC1-92FE-9E0F3C7D711F}">
  <sheetPr>
    <tabColor theme="4" tint="0.39997558519241921"/>
  </sheetPr>
  <dimension ref="B1:L31"/>
  <sheetViews>
    <sheetView topLeftCell="A3" workbookViewId="0"/>
  </sheetViews>
  <sheetFormatPr defaultColWidth="8.7265625" defaultRowHeight="14.5" x14ac:dyDescent="0.35"/>
  <cols>
    <col min="1" max="1" width="4.1796875" style="1" customWidth="1"/>
    <col min="2" max="2" width="15" style="1" customWidth="1"/>
    <col min="3" max="3" width="23.6328125" style="1" customWidth="1"/>
    <col min="4" max="4" width="12.7265625" style="1" customWidth="1"/>
    <col min="5" max="5" width="4.54296875" style="1" customWidth="1"/>
    <col min="6" max="6" width="18.36328125" style="1" customWidth="1"/>
    <col min="7" max="7" width="21.08984375" style="1" customWidth="1"/>
    <col min="8" max="8" width="8.7265625" style="1"/>
    <col min="9" max="9" width="5.453125" style="1" customWidth="1"/>
    <col min="10" max="10" width="18.6328125" style="1" customWidth="1"/>
    <col min="11" max="11" width="18.08984375" style="1" customWidth="1"/>
    <col min="12" max="16384" width="8.7265625" style="1"/>
  </cols>
  <sheetData>
    <row r="1" spans="2:12" ht="23" customHeight="1" x14ac:dyDescent="0.45">
      <c r="B1" s="111" t="s">
        <v>220</v>
      </c>
      <c r="C1" s="112"/>
      <c r="D1" s="112"/>
      <c r="E1" s="72"/>
      <c r="F1" s="113" t="s">
        <v>184</v>
      </c>
      <c r="G1" s="72"/>
      <c r="H1" s="72"/>
      <c r="I1" s="72"/>
      <c r="J1" s="113" t="s">
        <v>185</v>
      </c>
      <c r="K1" s="72"/>
      <c r="L1" s="72"/>
    </row>
    <row r="3" spans="2:12" x14ac:dyDescent="0.35">
      <c r="B3" s="70" t="s">
        <v>3</v>
      </c>
      <c r="C3" s="71"/>
      <c r="D3" s="71"/>
      <c r="F3" s="100" t="s">
        <v>3</v>
      </c>
      <c r="G3" s="101"/>
      <c r="H3" s="101"/>
      <c r="J3" s="73" t="s">
        <v>3</v>
      </c>
      <c r="K3" s="74"/>
      <c r="L3" s="74"/>
    </row>
    <row r="4" spans="2:12" x14ac:dyDescent="0.35">
      <c r="B4" s="78" t="s">
        <v>3</v>
      </c>
      <c r="C4" s="79" t="s">
        <v>100</v>
      </c>
      <c r="D4" s="80">
        <v>80000</v>
      </c>
      <c r="F4" s="102" t="s">
        <v>3</v>
      </c>
      <c r="G4" s="103" t="s">
        <v>100</v>
      </c>
      <c r="H4" s="104">
        <f>D4*(175/179)</f>
        <v>78212.290502793301</v>
      </c>
      <c r="J4" s="91" t="s">
        <v>3</v>
      </c>
      <c r="K4" s="92" t="s">
        <v>100</v>
      </c>
      <c r="L4" s="93">
        <f>D4*(4/179)</f>
        <v>1787.7094972067039</v>
      </c>
    </row>
    <row r="5" spans="2:12" x14ac:dyDescent="0.35">
      <c r="B5" s="78" t="s">
        <v>3</v>
      </c>
      <c r="C5" s="79" t="s">
        <v>101</v>
      </c>
      <c r="D5" s="80">
        <v>20000</v>
      </c>
      <c r="F5" s="102" t="s">
        <v>3</v>
      </c>
      <c r="G5" s="103" t="s">
        <v>101</v>
      </c>
      <c r="H5" s="104">
        <f t="shared" ref="H5:H8" si="0">D5*(175/179)</f>
        <v>19553.072625698325</v>
      </c>
      <c r="J5" s="91" t="s">
        <v>3</v>
      </c>
      <c r="K5" s="92" t="s">
        <v>101</v>
      </c>
      <c r="L5" s="93">
        <f>D5*(4/179)</f>
        <v>446.92737430167597</v>
      </c>
    </row>
    <row r="6" spans="2:12" x14ac:dyDescent="0.35">
      <c r="B6" s="78" t="s">
        <v>3</v>
      </c>
      <c r="C6" s="79" t="s">
        <v>108</v>
      </c>
      <c r="D6" s="80">
        <v>20000</v>
      </c>
      <c r="F6" s="102" t="s">
        <v>3</v>
      </c>
      <c r="G6" s="103" t="s">
        <v>108</v>
      </c>
      <c r="H6" s="104">
        <f>D6</f>
        <v>20000</v>
      </c>
      <c r="J6" s="91" t="s">
        <v>3</v>
      </c>
      <c r="K6" s="92" t="s">
        <v>108</v>
      </c>
      <c r="L6" s="93">
        <v>0</v>
      </c>
    </row>
    <row r="7" spans="2:12" x14ac:dyDescent="0.35">
      <c r="B7" s="78" t="s">
        <v>186</v>
      </c>
      <c r="C7" s="79" t="s">
        <v>187</v>
      </c>
      <c r="D7" s="80">
        <v>20000</v>
      </c>
      <c r="F7" s="102" t="s">
        <v>186</v>
      </c>
      <c r="G7" s="103" t="s">
        <v>187</v>
      </c>
      <c r="H7" s="104">
        <v>20000</v>
      </c>
      <c r="J7" s="91" t="s">
        <v>3</v>
      </c>
      <c r="K7" s="92"/>
      <c r="L7" s="93">
        <v>0</v>
      </c>
    </row>
    <row r="8" spans="2:12" x14ac:dyDescent="0.35">
      <c r="B8" s="78" t="s">
        <v>3</v>
      </c>
      <c r="C8" s="79" t="s">
        <v>102</v>
      </c>
      <c r="D8" s="80">
        <v>0</v>
      </c>
      <c r="F8" s="102" t="s">
        <v>3</v>
      </c>
      <c r="G8" s="103" t="s">
        <v>102</v>
      </c>
      <c r="H8" s="104">
        <f t="shared" si="0"/>
        <v>0</v>
      </c>
      <c r="J8" s="91" t="s">
        <v>3</v>
      </c>
      <c r="K8" s="92" t="s">
        <v>102</v>
      </c>
      <c r="L8" s="93">
        <f>D8*(4/179)</f>
        <v>0</v>
      </c>
    </row>
    <row r="9" spans="2:12" ht="15" thickBot="1" x14ac:dyDescent="0.4">
      <c r="B9" s="81" t="s">
        <v>25</v>
      </c>
      <c r="C9" s="82"/>
      <c r="D9" s="83">
        <f>SUM(D4:D8)</f>
        <v>140000</v>
      </c>
      <c r="F9" s="57"/>
      <c r="G9" s="57"/>
      <c r="H9" s="105">
        <f>SUM(H4:H8)</f>
        <v>137765.36312849162</v>
      </c>
      <c r="J9" s="51"/>
      <c r="K9" s="51"/>
      <c r="L9" s="94">
        <f>SUM(L4:L8)</f>
        <v>2234.63687150838</v>
      </c>
    </row>
    <row r="10" spans="2:12" x14ac:dyDescent="0.35">
      <c r="B10" s="81"/>
      <c r="C10" s="82"/>
      <c r="D10" s="84"/>
      <c r="F10" s="57"/>
      <c r="G10" s="57"/>
      <c r="H10" s="57"/>
      <c r="J10" s="51"/>
      <c r="K10" s="51"/>
      <c r="L10" s="51"/>
    </row>
    <row r="11" spans="2:12" x14ac:dyDescent="0.35">
      <c r="B11" s="85" t="s">
        <v>109</v>
      </c>
      <c r="C11" s="70"/>
      <c r="D11" s="70"/>
      <c r="F11" s="106" t="s">
        <v>189</v>
      </c>
      <c r="G11" s="100"/>
      <c r="H11" s="100"/>
      <c r="J11" s="95" t="s">
        <v>232</v>
      </c>
      <c r="K11" s="73"/>
      <c r="L11" s="73"/>
    </row>
    <row r="12" spans="2:12" x14ac:dyDescent="0.35">
      <c r="B12" s="78" t="s">
        <v>192</v>
      </c>
      <c r="C12" s="78" t="s">
        <v>103</v>
      </c>
      <c r="D12" s="80">
        <v>-18000</v>
      </c>
      <c r="F12" s="102" t="s">
        <v>29</v>
      </c>
      <c r="G12" s="102" t="s">
        <v>103</v>
      </c>
      <c r="H12" s="104">
        <v>-20000</v>
      </c>
      <c r="J12" s="63"/>
      <c r="K12" s="63"/>
      <c r="L12" s="63"/>
    </row>
    <row r="13" spans="2:12" x14ac:dyDescent="0.35">
      <c r="B13" s="78" t="s">
        <v>104</v>
      </c>
      <c r="C13" s="78" t="s">
        <v>5</v>
      </c>
      <c r="D13" s="80">
        <v>40000</v>
      </c>
      <c r="F13" s="102" t="s">
        <v>104</v>
      </c>
      <c r="G13" s="102" t="s">
        <v>5</v>
      </c>
      <c r="H13" s="104">
        <v>40000</v>
      </c>
      <c r="J13" s="63"/>
      <c r="K13" s="63"/>
      <c r="L13" s="63"/>
    </row>
    <row r="14" spans="2:12" ht="15" thickBot="1" x14ac:dyDescent="0.4">
      <c r="B14" s="42"/>
      <c r="C14" s="42"/>
      <c r="D14" s="83">
        <f>SUM(D12:D13)</f>
        <v>22000</v>
      </c>
      <c r="F14" s="57"/>
      <c r="G14" s="57"/>
      <c r="H14" s="105">
        <f>SUM(H12:H13)</f>
        <v>20000</v>
      </c>
      <c r="J14" s="51"/>
      <c r="K14" s="51"/>
      <c r="L14" s="58"/>
    </row>
    <row r="15" spans="2:12" x14ac:dyDescent="0.35">
      <c r="B15" s="42"/>
      <c r="C15" s="42"/>
      <c r="D15" s="86"/>
      <c r="F15" s="57"/>
      <c r="G15" s="57"/>
      <c r="H15" s="57"/>
      <c r="J15" s="51"/>
      <c r="K15" s="51"/>
      <c r="L15" s="51"/>
    </row>
    <row r="16" spans="2:12" x14ac:dyDescent="0.35">
      <c r="B16" s="85" t="s">
        <v>121</v>
      </c>
      <c r="C16" s="87"/>
      <c r="D16" s="88"/>
      <c r="F16" s="106" t="s">
        <v>121</v>
      </c>
      <c r="G16" s="107"/>
      <c r="H16" s="108"/>
      <c r="J16" s="95" t="s">
        <v>233</v>
      </c>
      <c r="K16" s="96"/>
      <c r="L16" s="97"/>
    </row>
    <row r="17" spans="2:12" x14ac:dyDescent="0.35">
      <c r="B17" s="78" t="s">
        <v>121</v>
      </c>
      <c r="C17" s="78" t="s">
        <v>199</v>
      </c>
      <c r="D17" s="80">
        <v>200000</v>
      </c>
      <c r="F17" s="102" t="s">
        <v>121</v>
      </c>
      <c r="G17" s="102" t="s">
        <v>199</v>
      </c>
      <c r="H17" s="104">
        <v>200000</v>
      </c>
      <c r="J17" s="91"/>
      <c r="K17" s="91"/>
      <c r="L17" s="93"/>
    </row>
    <row r="18" spans="2:12" ht="15" thickBot="1" x14ac:dyDescent="0.4">
      <c r="B18" s="81"/>
      <c r="C18" s="81"/>
      <c r="D18" s="83">
        <f>SUM(D17)</f>
        <v>200000</v>
      </c>
      <c r="F18" s="57"/>
      <c r="G18" s="57"/>
      <c r="H18" s="105">
        <f>H17</f>
        <v>200000</v>
      </c>
      <c r="J18" s="51"/>
      <c r="K18" s="51"/>
      <c r="L18" s="58"/>
    </row>
    <row r="19" spans="2:12" x14ac:dyDescent="0.35">
      <c r="B19" s="81"/>
      <c r="C19" s="81"/>
      <c r="D19" s="84"/>
      <c r="F19" s="57"/>
      <c r="G19" s="57"/>
      <c r="H19" s="57"/>
      <c r="J19" s="51"/>
      <c r="K19" s="51"/>
      <c r="L19" s="51"/>
    </row>
    <row r="20" spans="2:12" x14ac:dyDescent="0.35">
      <c r="B20" s="85" t="s">
        <v>110</v>
      </c>
      <c r="C20" s="85"/>
      <c r="D20" s="88"/>
      <c r="F20" s="106" t="s">
        <v>110</v>
      </c>
      <c r="G20" s="106"/>
      <c r="H20" s="108"/>
      <c r="J20" s="95" t="s">
        <v>110</v>
      </c>
      <c r="K20" s="95"/>
      <c r="L20" s="97"/>
    </row>
    <row r="21" spans="2:12" x14ac:dyDescent="0.35">
      <c r="B21" s="78" t="s">
        <v>105</v>
      </c>
      <c r="C21" s="78" t="s">
        <v>116</v>
      </c>
      <c r="D21" s="80">
        <v>15000</v>
      </c>
      <c r="F21" s="102" t="s">
        <v>105</v>
      </c>
      <c r="G21" s="102" t="s">
        <v>116</v>
      </c>
      <c r="H21" s="104">
        <v>15000</v>
      </c>
      <c r="J21" s="91"/>
      <c r="K21" s="91"/>
      <c r="L21" s="93"/>
    </row>
    <row r="22" spans="2:12" x14ac:dyDescent="0.35">
      <c r="B22" s="78" t="s">
        <v>106</v>
      </c>
      <c r="C22" s="78" t="s">
        <v>116</v>
      </c>
      <c r="D22" s="80">
        <v>24000</v>
      </c>
      <c r="F22" s="102" t="s">
        <v>106</v>
      </c>
      <c r="G22" s="102" t="s">
        <v>116</v>
      </c>
      <c r="H22" s="104">
        <f>D22*(175/179)</f>
        <v>23463.687150837988</v>
      </c>
      <c r="J22" s="91" t="s">
        <v>106</v>
      </c>
      <c r="K22" s="91" t="s">
        <v>116</v>
      </c>
      <c r="L22" s="93">
        <f>D22-H22</f>
        <v>536.31284916201184</v>
      </c>
    </row>
    <row r="23" spans="2:12" x14ac:dyDescent="0.35">
      <c r="B23" s="78" t="s">
        <v>4</v>
      </c>
      <c r="C23" s="78" t="s">
        <v>188</v>
      </c>
      <c r="D23" s="80">
        <v>30000</v>
      </c>
      <c r="F23" s="102" t="s">
        <v>190</v>
      </c>
      <c r="G23" s="102" t="s">
        <v>191</v>
      </c>
      <c r="H23" s="104">
        <v>30000</v>
      </c>
      <c r="J23" s="91"/>
      <c r="K23" s="91"/>
      <c r="L23" s="93"/>
    </row>
    <row r="24" spans="2:12" x14ac:dyDescent="0.35">
      <c r="B24" s="78" t="s">
        <v>107</v>
      </c>
      <c r="C24" s="78" t="s">
        <v>133</v>
      </c>
      <c r="D24" s="80">
        <v>100000</v>
      </c>
      <c r="F24" s="102" t="s">
        <v>107</v>
      </c>
      <c r="G24" s="102"/>
      <c r="H24" s="104">
        <f>D24*(175/179)</f>
        <v>97765.363128491619</v>
      </c>
      <c r="J24" s="91" t="s">
        <v>107</v>
      </c>
      <c r="K24" s="91"/>
      <c r="L24" s="93">
        <f>D24*(4/179)</f>
        <v>2234.63687150838</v>
      </c>
    </row>
    <row r="25" spans="2:12" ht="15" thickBot="1" x14ac:dyDescent="0.4">
      <c r="B25" s="42"/>
      <c r="C25" s="42"/>
      <c r="D25" s="83">
        <f>SUM(D21:D24)</f>
        <v>169000</v>
      </c>
      <c r="F25" s="57"/>
      <c r="G25" s="57"/>
      <c r="H25" s="105">
        <f>SUM(H21:H24)</f>
        <v>166229.05027932959</v>
      </c>
      <c r="J25" s="51"/>
      <c r="K25" s="51"/>
      <c r="L25" s="94">
        <f>SUM(L21:L24)</f>
        <v>2770.9497206703918</v>
      </c>
    </row>
    <row r="26" spans="2:12" x14ac:dyDescent="0.35">
      <c r="B26" s="42"/>
      <c r="C26" s="42"/>
      <c r="D26" s="42"/>
      <c r="F26" s="57"/>
      <c r="G26" s="57"/>
      <c r="H26" s="57"/>
      <c r="J26" s="51"/>
      <c r="K26" s="51"/>
      <c r="L26" s="51"/>
    </row>
    <row r="27" spans="2:12" x14ac:dyDescent="0.35">
      <c r="B27" s="42"/>
      <c r="C27" s="89" t="s">
        <v>134</v>
      </c>
      <c r="D27" s="90">
        <f>D9+D14+D25</f>
        <v>331000</v>
      </c>
      <c r="F27" s="57"/>
      <c r="G27" s="109" t="s">
        <v>134</v>
      </c>
      <c r="H27" s="110">
        <f>H9+H14+H25</f>
        <v>323994.41340782121</v>
      </c>
      <c r="J27" s="51"/>
      <c r="K27" s="98" t="s">
        <v>134</v>
      </c>
      <c r="L27" s="99">
        <f>L9+L14+L25</f>
        <v>5005.5865921787718</v>
      </c>
    </row>
    <row r="28" spans="2:12" x14ac:dyDescent="0.35">
      <c r="B28" s="2"/>
      <c r="C28" s="19"/>
      <c r="D28" s="3"/>
    </row>
    <row r="29" spans="2:12" x14ac:dyDescent="0.35">
      <c r="B29" s="2"/>
      <c r="C29" s="19"/>
      <c r="D29" s="3"/>
    </row>
    <row r="30" spans="2:12" x14ac:dyDescent="0.35">
      <c r="B30" s="2"/>
      <c r="C30" s="19"/>
      <c r="D30" s="3"/>
    </row>
    <row r="31" spans="2:12" x14ac:dyDescent="0.35">
      <c r="B31" s="2"/>
      <c r="C31" s="19"/>
      <c r="D3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891A3-505B-4034-B5CB-544156C7A25E}">
  <sheetPr>
    <tabColor theme="4" tint="0.39997558519241921"/>
  </sheetPr>
  <dimension ref="B1:J24"/>
  <sheetViews>
    <sheetView zoomScale="110" zoomScaleNormal="110" workbookViewId="0"/>
  </sheetViews>
  <sheetFormatPr defaultColWidth="8.7265625" defaultRowHeight="14.5" x14ac:dyDescent="0.35"/>
  <cols>
    <col min="1" max="1" width="5.08984375" style="1" customWidth="1"/>
    <col min="2" max="2" width="30" style="1" customWidth="1"/>
    <col min="3" max="3" width="15.26953125" style="1" customWidth="1"/>
    <col min="4" max="4" width="8.90625" style="1" customWidth="1"/>
    <col min="5" max="5" width="13.26953125" style="1" customWidth="1"/>
    <col min="6" max="6" width="12.08984375" style="1" customWidth="1"/>
    <col min="7" max="7" width="19.453125" style="1" customWidth="1"/>
    <col min="8" max="8" width="9.36328125" style="1" customWidth="1"/>
    <col min="9" max="9" width="23.54296875" style="1" customWidth="1"/>
    <col min="10" max="10" width="23.26953125" style="1" bestFit="1" customWidth="1"/>
    <col min="11" max="16384" width="8.7265625" style="1"/>
  </cols>
  <sheetData>
    <row r="1" spans="2:10" x14ac:dyDescent="0.35">
      <c r="B1" s="4" t="s">
        <v>153</v>
      </c>
      <c r="C1" s="4"/>
      <c r="D1" s="4"/>
      <c r="E1" s="4"/>
    </row>
    <row r="2" spans="2:10" ht="16" customHeight="1" x14ac:dyDescent="0.35">
      <c r="C2" s="189" t="s">
        <v>197</v>
      </c>
      <c r="D2" s="189"/>
      <c r="E2" s="189"/>
      <c r="F2" s="190" t="s">
        <v>198</v>
      </c>
      <c r="G2" s="190"/>
      <c r="H2" s="190"/>
    </row>
    <row r="3" spans="2:10" x14ac:dyDescent="0.35">
      <c r="B3" s="40" t="s">
        <v>2</v>
      </c>
      <c r="C3" s="114" t="s">
        <v>132</v>
      </c>
      <c r="D3" s="115" t="s">
        <v>79</v>
      </c>
      <c r="E3" s="115" t="s">
        <v>6</v>
      </c>
      <c r="F3" s="134" t="s">
        <v>180</v>
      </c>
      <c r="G3" s="180" t="s">
        <v>195</v>
      </c>
      <c r="H3" s="134" t="s">
        <v>196</v>
      </c>
      <c r="I3" s="42"/>
      <c r="J3" s="42"/>
    </row>
    <row r="4" spans="2:10" x14ac:dyDescent="0.35">
      <c r="B4" s="116" t="s">
        <v>122</v>
      </c>
      <c r="C4" s="117">
        <v>25</v>
      </c>
      <c r="D4" s="118">
        <v>1710</v>
      </c>
      <c r="E4" s="80">
        <f t="shared" ref="E4:E17" si="0">C4*D4</f>
        <v>42750</v>
      </c>
      <c r="F4" s="135">
        <f>D4+H4</f>
        <v>1800</v>
      </c>
      <c r="G4" s="181">
        <f>C4*F4</f>
        <v>45000</v>
      </c>
      <c r="H4" s="187">
        <v>90</v>
      </c>
      <c r="I4" s="42"/>
      <c r="J4" s="42"/>
    </row>
    <row r="5" spans="2:10" x14ac:dyDescent="0.35">
      <c r="B5" s="119" t="s">
        <v>123</v>
      </c>
      <c r="C5" s="136">
        <v>30</v>
      </c>
      <c r="D5" s="118">
        <v>1820</v>
      </c>
      <c r="E5" s="80">
        <f t="shared" si="0"/>
        <v>54600</v>
      </c>
      <c r="F5" s="135">
        <f t="shared" ref="F5:F17" si="1">D5+H5</f>
        <v>1950</v>
      </c>
      <c r="G5" s="181">
        <f t="shared" ref="G5:G17" si="2">C5*F5</f>
        <v>58500</v>
      </c>
      <c r="H5" s="187">
        <v>130</v>
      </c>
      <c r="I5" s="42"/>
      <c r="J5" s="42"/>
    </row>
    <row r="6" spans="2:10" x14ac:dyDescent="0.35">
      <c r="B6" s="119" t="s">
        <v>124</v>
      </c>
      <c r="C6" s="136">
        <v>30</v>
      </c>
      <c r="D6" s="118">
        <v>1920</v>
      </c>
      <c r="E6" s="80">
        <f t="shared" si="0"/>
        <v>57600</v>
      </c>
      <c r="F6" s="135">
        <f t="shared" si="1"/>
        <v>2050</v>
      </c>
      <c r="G6" s="181">
        <f t="shared" si="2"/>
        <v>61500</v>
      </c>
      <c r="H6" s="187">
        <v>130</v>
      </c>
      <c r="I6" s="42"/>
      <c r="J6" s="42"/>
    </row>
    <row r="7" spans="2:10" x14ac:dyDescent="0.35">
      <c r="B7" s="121" t="s">
        <v>125</v>
      </c>
      <c r="C7" s="136">
        <v>25</v>
      </c>
      <c r="D7" s="118">
        <v>2240</v>
      </c>
      <c r="E7" s="80">
        <f t="shared" si="0"/>
        <v>56000</v>
      </c>
      <c r="F7" s="135">
        <f t="shared" si="1"/>
        <v>2450</v>
      </c>
      <c r="G7" s="181">
        <f t="shared" si="2"/>
        <v>61250</v>
      </c>
      <c r="H7" s="187">
        <v>210</v>
      </c>
      <c r="I7" s="42"/>
      <c r="J7" s="42"/>
    </row>
    <row r="8" spans="2:10" x14ac:dyDescent="0.35">
      <c r="B8" s="121" t="s">
        <v>126</v>
      </c>
      <c r="C8" s="136">
        <v>13</v>
      </c>
      <c r="D8" s="118">
        <v>2700</v>
      </c>
      <c r="E8" s="80">
        <f t="shared" si="0"/>
        <v>35100</v>
      </c>
      <c r="F8" s="135">
        <f t="shared" si="1"/>
        <v>2950</v>
      </c>
      <c r="G8" s="181">
        <f t="shared" si="2"/>
        <v>38350</v>
      </c>
      <c r="H8" s="187">
        <v>250</v>
      </c>
      <c r="I8" s="42"/>
      <c r="J8" s="42"/>
    </row>
    <row r="9" spans="2:10" x14ac:dyDescent="0.35">
      <c r="B9" s="121" t="s">
        <v>127</v>
      </c>
      <c r="C9" s="136">
        <v>12</v>
      </c>
      <c r="D9" s="118">
        <v>2700</v>
      </c>
      <c r="E9" s="80">
        <f t="shared" si="0"/>
        <v>32400</v>
      </c>
      <c r="F9" s="135">
        <f t="shared" si="1"/>
        <v>3000</v>
      </c>
      <c r="G9" s="181">
        <f t="shared" si="2"/>
        <v>36000</v>
      </c>
      <c r="H9" s="187">
        <v>300</v>
      </c>
      <c r="I9" s="42"/>
      <c r="J9" s="42"/>
    </row>
    <row r="10" spans="2:10" x14ac:dyDescent="0.35">
      <c r="B10" s="121" t="s">
        <v>128</v>
      </c>
      <c r="C10" s="136">
        <v>20</v>
      </c>
      <c r="D10" s="118">
        <v>2700</v>
      </c>
      <c r="E10" s="80">
        <f t="shared" si="0"/>
        <v>54000</v>
      </c>
      <c r="F10" s="135">
        <f t="shared" si="1"/>
        <v>3000</v>
      </c>
      <c r="G10" s="181">
        <f t="shared" si="2"/>
        <v>60000</v>
      </c>
      <c r="H10" s="187">
        <v>300</v>
      </c>
      <c r="I10" s="42"/>
      <c r="J10" s="42"/>
    </row>
    <row r="11" spans="2:10" x14ac:dyDescent="0.35">
      <c r="B11" s="121" t="s">
        <v>129</v>
      </c>
      <c r="C11" s="136">
        <v>5</v>
      </c>
      <c r="D11" s="118">
        <v>2700</v>
      </c>
      <c r="E11" s="80">
        <f t="shared" si="0"/>
        <v>13500</v>
      </c>
      <c r="F11" s="135">
        <f t="shared" si="1"/>
        <v>3000</v>
      </c>
      <c r="G11" s="181">
        <f t="shared" si="2"/>
        <v>15000</v>
      </c>
      <c r="H11" s="187">
        <v>300</v>
      </c>
      <c r="I11" s="42"/>
      <c r="J11" s="42"/>
    </row>
    <row r="12" spans="2:10" x14ac:dyDescent="0.35">
      <c r="B12" s="121" t="s">
        <v>130</v>
      </c>
      <c r="C12" s="136">
        <v>2</v>
      </c>
      <c r="D12" s="118">
        <v>2700</v>
      </c>
      <c r="E12" s="80">
        <f t="shared" si="0"/>
        <v>5400</v>
      </c>
      <c r="F12" s="135">
        <f t="shared" si="1"/>
        <v>3000</v>
      </c>
      <c r="G12" s="181">
        <f t="shared" si="2"/>
        <v>6000</v>
      </c>
      <c r="H12" s="187">
        <v>300</v>
      </c>
      <c r="I12" s="173"/>
      <c r="J12" s="42"/>
    </row>
    <row r="13" spans="2:10" x14ac:dyDescent="0.35">
      <c r="B13" s="121" t="s">
        <v>131</v>
      </c>
      <c r="C13" s="136">
        <v>0</v>
      </c>
      <c r="D13" s="118">
        <v>2700</v>
      </c>
      <c r="E13" s="80">
        <f t="shared" si="0"/>
        <v>0</v>
      </c>
      <c r="F13" s="135">
        <f t="shared" si="1"/>
        <v>3000</v>
      </c>
      <c r="G13" s="181">
        <f t="shared" si="2"/>
        <v>0</v>
      </c>
      <c r="H13" s="187">
        <v>300</v>
      </c>
      <c r="I13" s="173"/>
      <c r="J13" s="42"/>
    </row>
    <row r="14" spans="2:10" x14ac:dyDescent="0.35">
      <c r="B14" s="121" t="s">
        <v>75</v>
      </c>
      <c r="C14" s="136">
        <v>9</v>
      </c>
      <c r="D14" s="118">
        <v>3700</v>
      </c>
      <c r="E14" s="80">
        <f t="shared" si="0"/>
        <v>33300</v>
      </c>
      <c r="F14" s="135">
        <f t="shared" si="1"/>
        <v>4050</v>
      </c>
      <c r="G14" s="181">
        <f t="shared" si="2"/>
        <v>36450</v>
      </c>
      <c r="H14" s="187">
        <v>350</v>
      </c>
      <c r="I14" s="42"/>
      <c r="J14" s="42"/>
    </row>
    <row r="15" spans="2:10" x14ac:dyDescent="0.35">
      <c r="B15" s="121" t="s">
        <v>76</v>
      </c>
      <c r="C15" s="136">
        <v>0</v>
      </c>
      <c r="D15" s="118">
        <v>2500</v>
      </c>
      <c r="E15" s="80">
        <f t="shared" si="0"/>
        <v>0</v>
      </c>
      <c r="F15" s="135">
        <f t="shared" si="1"/>
        <v>2850</v>
      </c>
      <c r="G15" s="181">
        <f t="shared" si="2"/>
        <v>0</v>
      </c>
      <c r="H15" s="187">
        <v>350</v>
      </c>
      <c r="I15" s="42"/>
      <c r="J15" s="42"/>
    </row>
    <row r="16" spans="2:10" x14ac:dyDescent="0.35">
      <c r="B16" s="78" t="s">
        <v>77</v>
      </c>
      <c r="C16" s="136">
        <v>2</v>
      </c>
      <c r="D16" s="118">
        <v>4700</v>
      </c>
      <c r="E16" s="80">
        <f t="shared" si="0"/>
        <v>9400</v>
      </c>
      <c r="F16" s="135">
        <f t="shared" si="1"/>
        <v>5200</v>
      </c>
      <c r="G16" s="181">
        <f t="shared" si="2"/>
        <v>10400</v>
      </c>
      <c r="H16" s="187">
        <v>500</v>
      </c>
      <c r="I16" s="42"/>
      <c r="J16" s="42"/>
    </row>
    <row r="17" spans="2:10" x14ac:dyDescent="0.35">
      <c r="B17" s="78" t="s">
        <v>78</v>
      </c>
      <c r="C17" s="136">
        <v>4</v>
      </c>
      <c r="D17" s="118">
        <v>4700</v>
      </c>
      <c r="E17" s="80">
        <f t="shared" si="0"/>
        <v>18800</v>
      </c>
      <c r="F17" s="135">
        <f t="shared" si="1"/>
        <v>5200</v>
      </c>
      <c r="G17" s="181">
        <f t="shared" si="2"/>
        <v>20800</v>
      </c>
      <c r="H17" s="187">
        <v>500</v>
      </c>
      <c r="I17" s="42"/>
      <c r="J17" s="42"/>
    </row>
    <row r="18" spans="2:10" x14ac:dyDescent="0.35">
      <c r="B18" s="78"/>
      <c r="C18" s="120"/>
      <c r="D18" s="118"/>
      <c r="E18" s="80"/>
      <c r="F18" s="132"/>
      <c r="G18" s="182"/>
      <c r="H18" s="133"/>
      <c r="I18" s="42"/>
      <c r="J18" s="42"/>
    </row>
    <row r="19" spans="2:10" ht="15" thickBot="1" x14ac:dyDescent="0.4">
      <c r="B19" s="81"/>
      <c r="C19" s="122"/>
      <c r="D19" s="84"/>
      <c r="E19" s="84">
        <f>SUM(E4:E18)</f>
        <v>412850</v>
      </c>
      <c r="F19" s="42"/>
      <c r="G19" s="183">
        <f>SUM(G4:G17)</f>
        <v>449250</v>
      </c>
      <c r="H19" s="42"/>
      <c r="I19" s="42"/>
      <c r="J19" s="42"/>
    </row>
    <row r="20" spans="2:10" x14ac:dyDescent="0.35">
      <c r="B20" s="123" t="s">
        <v>135</v>
      </c>
      <c r="C20" s="124"/>
      <c r="D20" s="125"/>
      <c r="E20" s="125"/>
      <c r="F20" s="42"/>
      <c r="G20" s="42"/>
      <c r="H20" s="42"/>
    </row>
    <row r="21" spans="2:10" x14ac:dyDescent="0.35">
      <c r="B21" s="126" t="s">
        <v>135</v>
      </c>
      <c r="C21" s="127">
        <v>179</v>
      </c>
      <c r="D21" s="128">
        <v>350</v>
      </c>
      <c r="E21" s="129">
        <v>0</v>
      </c>
      <c r="G21" s="123" t="s">
        <v>230</v>
      </c>
    </row>
    <row r="22" spans="2:10" ht="15" thickBot="1" x14ac:dyDescent="0.4">
      <c r="B22" s="42"/>
      <c r="C22" s="42"/>
      <c r="D22" s="42"/>
      <c r="E22" s="42" t="s">
        <v>194</v>
      </c>
      <c r="F22" s="42"/>
      <c r="G22" s="179">
        <f>SUM(G4:G16)</f>
        <v>428450</v>
      </c>
    </row>
    <row r="23" spans="2:10" x14ac:dyDescent="0.35">
      <c r="G23" s="123" t="s">
        <v>231</v>
      </c>
    </row>
    <row r="24" spans="2:10" ht="15" thickBot="1" x14ac:dyDescent="0.4">
      <c r="G24" s="179">
        <f>G17</f>
        <v>20800</v>
      </c>
    </row>
  </sheetData>
  <mergeCells count="2">
    <mergeCell ref="C2:E2"/>
    <mergeCell ref="F2:H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C9473-47CC-4934-86E8-F990A6B36010}">
  <sheetPr>
    <tabColor theme="5" tint="0.39997558519241921"/>
  </sheetPr>
  <dimension ref="B2:H27"/>
  <sheetViews>
    <sheetView tabSelected="1" zoomScale="90" zoomScaleNormal="90" workbookViewId="0">
      <selection activeCell="G17" sqref="G17"/>
    </sheetView>
  </sheetViews>
  <sheetFormatPr defaultColWidth="8.7265625" defaultRowHeight="14.5" x14ac:dyDescent="0.35"/>
  <cols>
    <col min="1" max="2" width="8.7265625" style="1"/>
    <col min="3" max="3" width="41.1796875" style="1" customWidth="1"/>
    <col min="4" max="5" width="8.7265625" style="1"/>
    <col min="6" max="6" width="10.90625" style="1" customWidth="1"/>
    <col min="7" max="7" width="41.08984375" style="1" customWidth="1"/>
    <col min="8" max="16384" width="8.7265625" style="1"/>
  </cols>
  <sheetData>
    <row r="2" spans="2:8" x14ac:dyDescent="0.35">
      <c r="B2" s="6" t="s">
        <v>155</v>
      </c>
      <c r="C2" s="6"/>
      <c r="D2" s="6"/>
      <c r="F2" s="6" t="s">
        <v>156</v>
      </c>
      <c r="G2" s="6"/>
      <c r="H2" s="6"/>
    </row>
    <row r="3" spans="2:8" ht="14.5" customHeight="1" x14ac:dyDescent="0.35">
      <c r="B3" s="76" t="s">
        <v>59</v>
      </c>
      <c r="C3" s="76" t="s">
        <v>60</v>
      </c>
      <c r="D3" s="160">
        <v>0</v>
      </c>
      <c r="F3" s="76" t="s">
        <v>59</v>
      </c>
      <c r="G3" s="76" t="s">
        <v>67</v>
      </c>
      <c r="H3" s="77">
        <v>0</v>
      </c>
    </row>
    <row r="4" spans="2:8" ht="14.5" customHeight="1" x14ac:dyDescent="0.35">
      <c r="B4" s="76" t="s">
        <v>59</v>
      </c>
      <c r="C4" s="76" t="s">
        <v>60</v>
      </c>
      <c r="D4" s="160">
        <v>0</v>
      </c>
      <c r="F4" s="76" t="s">
        <v>69</v>
      </c>
      <c r="G4" s="76" t="s">
        <v>70</v>
      </c>
      <c r="H4" s="77">
        <f>SUM(H3)*14.1%</f>
        <v>0</v>
      </c>
    </row>
    <row r="5" spans="2:8" ht="14.5" customHeight="1" x14ac:dyDescent="0.35">
      <c r="B5" s="76" t="s">
        <v>59</v>
      </c>
      <c r="C5" s="76" t="s">
        <v>61</v>
      </c>
      <c r="D5" s="160">
        <v>0</v>
      </c>
      <c r="F5" s="76" t="s">
        <v>71</v>
      </c>
      <c r="G5" s="76" t="s">
        <v>72</v>
      </c>
      <c r="H5" s="77">
        <f>SUM(H3)*4%</f>
        <v>0</v>
      </c>
    </row>
    <row r="6" spans="2:8" ht="14.5" customHeight="1" thickBot="1" x14ac:dyDescent="0.4">
      <c r="B6" s="76" t="s">
        <v>59</v>
      </c>
      <c r="C6" s="76" t="s">
        <v>62</v>
      </c>
      <c r="D6" s="160">
        <v>10000</v>
      </c>
      <c r="G6" s="162" t="s">
        <v>6</v>
      </c>
      <c r="H6" s="37">
        <f>SUM(H3:H5)</f>
        <v>0</v>
      </c>
    </row>
    <row r="7" spans="2:8" ht="14.5" customHeight="1" x14ac:dyDescent="0.35">
      <c r="B7" s="76" t="s">
        <v>59</v>
      </c>
      <c r="C7" s="76" t="s">
        <v>63</v>
      </c>
      <c r="D7" s="160">
        <v>10000</v>
      </c>
    </row>
    <row r="8" spans="2:8" ht="14.5" customHeight="1" x14ac:dyDescent="0.35">
      <c r="B8" s="76" t="s">
        <v>59</v>
      </c>
      <c r="C8" s="76" t="s">
        <v>64</v>
      </c>
      <c r="D8" s="160">
        <v>10000</v>
      </c>
    </row>
    <row r="9" spans="2:8" ht="14.5" customHeight="1" x14ac:dyDescent="0.35">
      <c r="B9" s="76" t="s">
        <v>59</v>
      </c>
      <c r="C9" s="76" t="s">
        <v>174</v>
      </c>
      <c r="D9" s="77">
        <f>100000/3</f>
        <v>33333.333333333336</v>
      </c>
    </row>
    <row r="10" spans="2:8" ht="14.5" customHeight="1" x14ac:dyDescent="0.35">
      <c r="B10" s="76" t="s">
        <v>59</v>
      </c>
      <c r="C10" s="76" t="s">
        <v>175</v>
      </c>
      <c r="D10" s="77">
        <f>50000/3</f>
        <v>16666.666666666668</v>
      </c>
    </row>
    <row r="11" spans="2:8" ht="14.5" customHeight="1" x14ac:dyDescent="0.35">
      <c r="B11" s="76" t="s">
        <v>59</v>
      </c>
      <c r="C11" s="76" t="s">
        <v>158</v>
      </c>
      <c r="D11" s="77">
        <f>100000/3</f>
        <v>33333.333333333336</v>
      </c>
    </row>
    <row r="12" spans="2:8" ht="14.5" customHeight="1" x14ac:dyDescent="0.35">
      <c r="B12" s="76" t="s">
        <v>59</v>
      </c>
      <c r="C12" s="161" t="s">
        <v>157</v>
      </c>
      <c r="D12" s="77">
        <f>200000/3</f>
        <v>66666.666666666672</v>
      </c>
    </row>
    <row r="13" spans="2:8" ht="14.5" customHeight="1" x14ac:dyDescent="0.35">
      <c r="B13" s="76" t="s">
        <v>59</v>
      </c>
      <c r="C13" s="76" t="s">
        <v>65</v>
      </c>
      <c r="D13" s="77">
        <v>380000</v>
      </c>
    </row>
    <row r="14" spans="2:8" ht="14.5" customHeight="1" x14ac:dyDescent="0.35">
      <c r="B14" s="76" t="s">
        <v>59</v>
      </c>
      <c r="C14" s="76" t="s">
        <v>159</v>
      </c>
      <c r="D14" s="77">
        <f>70000/3</f>
        <v>23333.333333333332</v>
      </c>
    </row>
    <row r="15" spans="2:8" ht="14.5" customHeight="1" x14ac:dyDescent="0.35">
      <c r="B15" s="76" t="s">
        <v>59</v>
      </c>
      <c r="C15" s="161" t="s">
        <v>160</v>
      </c>
      <c r="D15" s="77">
        <f>140000/3</f>
        <v>46666.666666666664</v>
      </c>
    </row>
    <row r="16" spans="2:8" ht="14.5" customHeight="1" x14ac:dyDescent="0.35">
      <c r="B16" s="76" t="s">
        <v>59</v>
      </c>
      <c r="C16" s="161" t="s">
        <v>66</v>
      </c>
      <c r="D16" s="77">
        <v>0</v>
      </c>
    </row>
    <row r="17" spans="2:4" ht="14.5" customHeight="1" x14ac:dyDescent="0.35">
      <c r="B17" s="76" t="s">
        <v>59</v>
      </c>
      <c r="C17" s="76" t="s">
        <v>68</v>
      </c>
      <c r="D17" s="77">
        <v>0</v>
      </c>
    </row>
    <row r="18" spans="2:4" ht="14.5" customHeight="1" x14ac:dyDescent="0.35">
      <c r="B18" s="76" t="s">
        <v>69</v>
      </c>
      <c r="C18" s="76" t="s">
        <v>70</v>
      </c>
      <c r="D18" s="77">
        <f>SUM(D3:D17)*14.1%</f>
        <v>88829.999999999985</v>
      </c>
    </row>
    <row r="19" spans="2:4" ht="14.5" customHeight="1" x14ac:dyDescent="0.35">
      <c r="B19" s="76" t="s">
        <v>71</v>
      </c>
      <c r="C19" s="76" t="s">
        <v>72</v>
      </c>
      <c r="D19" s="77">
        <f>SUM(D3:D17)*4%</f>
        <v>25200</v>
      </c>
    </row>
    <row r="20" spans="2:4" ht="14.5" customHeight="1" thickBot="1" x14ac:dyDescent="0.4">
      <c r="C20" s="162" t="s">
        <v>6</v>
      </c>
      <c r="D20" s="184">
        <f>SUM(D3:D19)</f>
        <v>744030</v>
      </c>
    </row>
    <row r="21" spans="2:4" ht="14.5" customHeight="1" x14ac:dyDescent="0.35"/>
    <row r="22" spans="2:4" ht="14.5" customHeight="1" x14ac:dyDescent="0.35"/>
    <row r="23" spans="2:4" ht="14.5" customHeight="1" x14ac:dyDescent="0.35"/>
    <row r="24" spans="2:4" ht="14.5" customHeight="1" x14ac:dyDescent="0.35"/>
    <row r="25" spans="2:4" ht="14.5" customHeight="1" x14ac:dyDescent="0.35"/>
    <row r="26" spans="2:4" ht="14.5" customHeight="1" x14ac:dyDescent="0.35"/>
    <row r="27" spans="2:4" ht="14.5" customHeight="1" x14ac:dyDescent="0.35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A30-1539-46A1-AF76-5DC378800305}">
  <sheetPr>
    <tabColor theme="5" tint="0.39997558519241921"/>
  </sheetPr>
  <dimension ref="B1:O20"/>
  <sheetViews>
    <sheetView zoomScaleNormal="100" workbookViewId="0">
      <selection activeCell="E10" sqref="E10"/>
    </sheetView>
  </sheetViews>
  <sheetFormatPr defaultColWidth="8.7265625" defaultRowHeight="14.5" x14ac:dyDescent="0.35"/>
  <cols>
    <col min="1" max="1" width="5.36328125" style="1" customWidth="1"/>
    <col min="2" max="2" width="23.453125" style="1" customWidth="1"/>
    <col min="3" max="3" width="34.26953125" style="1" customWidth="1"/>
    <col min="4" max="4" width="9.1796875" style="1" bestFit="1" customWidth="1"/>
    <col min="5" max="5" width="8.7265625" style="1"/>
    <col min="6" max="6" width="19.7265625" style="1" customWidth="1"/>
    <col min="7" max="7" width="38.26953125" style="1" bestFit="1" customWidth="1"/>
    <col min="8" max="16384" width="8.7265625" style="1"/>
  </cols>
  <sheetData>
    <row r="1" spans="2:15" x14ac:dyDescent="0.35">
      <c r="B1" s="6" t="s">
        <v>214</v>
      </c>
      <c r="C1" s="6"/>
      <c r="D1" s="6"/>
      <c r="F1" s="6" t="s">
        <v>154</v>
      </c>
      <c r="G1" s="6"/>
      <c r="H1" s="6"/>
      <c r="I1" s="6"/>
      <c r="L1" s="6" t="s">
        <v>154</v>
      </c>
      <c r="M1" s="6"/>
      <c r="N1" s="6"/>
      <c r="O1" s="6"/>
    </row>
    <row r="3" spans="2:15" x14ac:dyDescent="0.35">
      <c r="B3" s="70" t="s">
        <v>117</v>
      </c>
      <c r="C3" s="71"/>
      <c r="D3" s="71"/>
      <c r="E3" s="42"/>
      <c r="F3" s="13" t="s">
        <v>215</v>
      </c>
      <c r="G3" s="14"/>
      <c r="H3" s="14"/>
      <c r="I3" s="14"/>
    </row>
    <row r="4" spans="2:15" x14ac:dyDescent="0.35">
      <c r="B4" s="141" t="s">
        <v>12</v>
      </c>
      <c r="C4" s="141" t="s">
        <v>119</v>
      </c>
      <c r="D4" s="167">
        <v>25000</v>
      </c>
      <c r="E4" s="42"/>
      <c r="F4" s="10"/>
      <c r="G4" s="10"/>
      <c r="H4" s="11"/>
      <c r="I4" s="12">
        <v>0</v>
      </c>
    </row>
    <row r="5" spans="2:15" x14ac:dyDescent="0.35">
      <c r="B5" s="143"/>
      <c r="C5" s="143"/>
      <c r="D5" s="168"/>
      <c r="E5" s="42"/>
      <c r="F5" s="7"/>
      <c r="G5" s="7"/>
      <c r="H5" s="8"/>
      <c r="I5" s="9"/>
    </row>
    <row r="6" spans="2:15" x14ac:dyDescent="0.35">
      <c r="B6" s="144" t="s">
        <v>118</v>
      </c>
      <c r="C6" s="145"/>
      <c r="D6" s="169"/>
      <c r="E6" s="42"/>
      <c r="F6" s="15" t="s">
        <v>216</v>
      </c>
      <c r="G6" s="16"/>
      <c r="H6" s="17"/>
      <c r="I6" s="18"/>
    </row>
    <row r="7" spans="2:15" x14ac:dyDescent="0.35">
      <c r="B7" s="141" t="s">
        <v>13</v>
      </c>
      <c r="C7" s="141" t="s">
        <v>111</v>
      </c>
      <c r="D7" s="167">
        <v>20000</v>
      </c>
      <c r="E7" s="42"/>
      <c r="F7" s="10"/>
      <c r="G7" s="10"/>
      <c r="H7" s="11"/>
      <c r="I7" s="12">
        <v>0</v>
      </c>
    </row>
    <row r="8" spans="2:15" x14ac:dyDescent="0.35">
      <c r="B8" s="141" t="s">
        <v>13</v>
      </c>
      <c r="C8" s="141" t="s">
        <v>14</v>
      </c>
      <c r="D8" s="167">
        <v>5000</v>
      </c>
      <c r="E8" s="42"/>
      <c r="F8" s="10"/>
      <c r="G8" s="10"/>
      <c r="H8" s="11"/>
      <c r="I8" s="12">
        <v>0</v>
      </c>
    </row>
    <row r="9" spans="2:15" x14ac:dyDescent="0.35">
      <c r="B9" s="141" t="s">
        <v>13</v>
      </c>
      <c r="C9" s="141" t="s">
        <v>15</v>
      </c>
      <c r="D9" s="167">
        <v>30000</v>
      </c>
      <c r="E9" s="42"/>
      <c r="F9" s="10"/>
      <c r="G9" s="10"/>
      <c r="H9" s="11"/>
      <c r="I9" s="12">
        <v>0</v>
      </c>
    </row>
    <row r="10" spans="2:15" x14ac:dyDescent="0.35">
      <c r="B10" s="141" t="s">
        <v>13</v>
      </c>
      <c r="C10" s="141" t="s">
        <v>16</v>
      </c>
      <c r="D10" s="167">
        <v>50000</v>
      </c>
      <c r="E10" s="42"/>
      <c r="F10" s="10"/>
      <c r="G10" s="10"/>
      <c r="H10" s="11"/>
      <c r="I10" s="12">
        <v>0</v>
      </c>
    </row>
    <row r="11" spans="2:15" x14ac:dyDescent="0.35">
      <c r="B11" s="141" t="s">
        <v>13</v>
      </c>
      <c r="C11" s="141" t="s">
        <v>17</v>
      </c>
      <c r="D11" s="167">
        <v>10000</v>
      </c>
      <c r="E11" s="42"/>
      <c r="F11" s="10"/>
      <c r="G11" s="10"/>
      <c r="H11" s="11"/>
      <c r="I11" s="12">
        <v>0</v>
      </c>
    </row>
    <row r="12" spans="2:15" x14ac:dyDescent="0.35">
      <c r="B12" s="141" t="s">
        <v>18</v>
      </c>
      <c r="C12" s="141" t="s">
        <v>18</v>
      </c>
      <c r="D12" s="167">
        <v>0</v>
      </c>
      <c r="E12" s="138" t="s">
        <v>237</v>
      </c>
      <c r="F12" s="10"/>
      <c r="G12" s="10"/>
      <c r="H12" s="11"/>
      <c r="I12" s="12">
        <v>0</v>
      </c>
    </row>
    <row r="13" spans="2:15" x14ac:dyDescent="0.35">
      <c r="B13" s="143"/>
      <c r="C13" s="143"/>
      <c r="D13" s="168"/>
      <c r="E13" s="42"/>
      <c r="F13" s="7"/>
      <c r="G13" s="7"/>
      <c r="H13" s="8"/>
      <c r="I13" s="9"/>
    </row>
    <row r="14" spans="2:15" x14ac:dyDescent="0.35">
      <c r="B14" s="144" t="s">
        <v>120</v>
      </c>
      <c r="C14" s="145"/>
      <c r="D14" s="169"/>
      <c r="E14" s="42"/>
      <c r="F14" s="15" t="s">
        <v>217</v>
      </c>
      <c r="G14" s="16"/>
      <c r="H14" s="17"/>
      <c r="I14" s="18"/>
    </row>
    <row r="15" spans="2:15" x14ac:dyDescent="0.35">
      <c r="B15" s="141" t="s">
        <v>19</v>
      </c>
      <c r="C15" s="141" t="s">
        <v>19</v>
      </c>
      <c r="D15" s="167">
        <v>12000</v>
      </c>
      <c r="E15" s="42"/>
      <c r="F15" s="10"/>
      <c r="G15" s="10"/>
      <c r="H15" s="11"/>
      <c r="I15" s="12">
        <v>0</v>
      </c>
    </row>
    <row r="16" spans="2:15" x14ac:dyDescent="0.35">
      <c r="B16" s="126" t="s">
        <v>95</v>
      </c>
      <c r="C16" s="126" t="s">
        <v>96</v>
      </c>
      <c r="D16" s="166">
        <v>12300</v>
      </c>
      <c r="E16" s="84"/>
      <c r="F16" s="10"/>
      <c r="G16" s="10"/>
      <c r="H16" s="11"/>
      <c r="I16" s="12"/>
    </row>
    <row r="17" spans="2:9" x14ac:dyDescent="0.35">
      <c r="B17" s="141"/>
      <c r="C17" s="141"/>
      <c r="D17" s="142"/>
      <c r="E17" s="42"/>
      <c r="F17" s="10"/>
      <c r="G17" s="10"/>
      <c r="H17" s="11"/>
      <c r="I17" s="12"/>
    </row>
    <row r="18" spans="2:9" x14ac:dyDescent="0.35">
      <c r="B18" s="141"/>
      <c r="C18" s="141"/>
      <c r="D18" s="142"/>
      <c r="E18" s="42"/>
      <c r="F18" s="10"/>
      <c r="G18" s="10"/>
      <c r="H18" s="11"/>
      <c r="I18" s="12"/>
    </row>
    <row r="19" spans="2:9" x14ac:dyDescent="0.35">
      <c r="B19" s="42"/>
      <c r="C19" s="42"/>
      <c r="D19" s="42"/>
      <c r="E19" s="42"/>
    </row>
    <row r="20" spans="2:9" ht="15" thickBot="1" x14ac:dyDescent="0.4">
      <c r="B20" s="42"/>
      <c r="C20" s="130" t="s">
        <v>52</v>
      </c>
      <c r="D20" s="131">
        <f>SUM(D4:D19)</f>
        <v>164300</v>
      </c>
      <c r="E20" s="42"/>
      <c r="F20" s="31"/>
      <c r="G20" s="31" t="s">
        <v>52</v>
      </c>
      <c r="H20" s="32"/>
      <c r="I20" s="33">
        <f>SUM(I4:I19)</f>
        <v>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90F42-6DD3-49D5-A38E-CA5C41A7AEBE}">
  <sheetPr>
    <tabColor theme="5" tint="0.39997558519241921"/>
  </sheetPr>
  <dimension ref="B1:E56"/>
  <sheetViews>
    <sheetView topLeftCell="A31" zoomScale="93" zoomScaleNormal="100" workbookViewId="0"/>
  </sheetViews>
  <sheetFormatPr defaultColWidth="8.7265625" defaultRowHeight="14.5" x14ac:dyDescent="0.35"/>
  <cols>
    <col min="1" max="1" width="8.7265625" style="1"/>
    <col min="2" max="2" width="40.6328125" style="1" customWidth="1"/>
    <col min="3" max="3" width="48.90625" style="1" customWidth="1"/>
    <col min="4" max="4" width="10.7265625" style="1" bestFit="1" customWidth="1"/>
    <col min="5" max="16384" width="8.7265625" style="1"/>
  </cols>
  <sheetData>
    <row r="1" spans="2:4" x14ac:dyDescent="0.35">
      <c r="B1" s="5" t="s">
        <v>151</v>
      </c>
      <c r="C1" s="6"/>
      <c r="D1" s="6"/>
    </row>
    <row r="3" spans="2:4" x14ac:dyDescent="0.35">
      <c r="B3" s="70" t="s">
        <v>45</v>
      </c>
      <c r="C3" s="71"/>
      <c r="D3" s="71"/>
    </row>
    <row r="4" spans="2:4" ht="14.5" customHeight="1" x14ac:dyDescent="0.35">
      <c r="B4" s="126" t="s">
        <v>142</v>
      </c>
      <c r="C4" s="146" t="s">
        <v>21</v>
      </c>
      <c r="D4" s="167">
        <v>-20000</v>
      </c>
    </row>
    <row r="5" spans="2:4" ht="14.5" customHeight="1" x14ac:dyDescent="0.35">
      <c r="B5" s="126" t="s">
        <v>141</v>
      </c>
      <c r="C5" s="146" t="s">
        <v>22</v>
      </c>
      <c r="D5" s="167">
        <v>40000</v>
      </c>
    </row>
    <row r="6" spans="2:4" ht="14.5" customHeight="1" x14ac:dyDescent="0.35">
      <c r="B6" s="81"/>
      <c r="C6" s="147"/>
      <c r="D6" s="168"/>
    </row>
    <row r="7" spans="2:4" ht="14.5" customHeight="1" x14ac:dyDescent="0.35">
      <c r="B7" s="85" t="s">
        <v>40</v>
      </c>
      <c r="C7" s="148"/>
      <c r="D7" s="169"/>
    </row>
    <row r="8" spans="2:4" ht="14.5" customHeight="1" x14ac:dyDescent="0.35">
      <c r="B8" s="126" t="s">
        <v>143</v>
      </c>
      <c r="C8" s="150" t="s">
        <v>23</v>
      </c>
      <c r="D8" s="167">
        <v>-70000</v>
      </c>
    </row>
    <row r="9" spans="2:4" ht="14.5" customHeight="1" x14ac:dyDescent="0.35">
      <c r="B9" s="126" t="s">
        <v>140</v>
      </c>
      <c r="C9" s="150" t="s">
        <v>24</v>
      </c>
      <c r="D9" s="167">
        <v>100000</v>
      </c>
    </row>
    <row r="10" spans="2:4" ht="14.5" customHeight="1" x14ac:dyDescent="0.35">
      <c r="B10" s="81"/>
      <c r="C10" s="151"/>
      <c r="D10" s="168"/>
    </row>
    <row r="11" spans="2:4" ht="14.5" customHeight="1" x14ac:dyDescent="0.35">
      <c r="B11" s="85" t="s">
        <v>41</v>
      </c>
      <c r="C11" s="154"/>
      <c r="D11" s="169"/>
    </row>
    <row r="12" spans="2:4" ht="14.5" customHeight="1" x14ac:dyDescent="0.35">
      <c r="B12" s="126" t="s">
        <v>140</v>
      </c>
      <c r="C12" s="126" t="s">
        <v>137</v>
      </c>
      <c r="D12" s="167">
        <v>10000</v>
      </c>
    </row>
    <row r="13" spans="2:4" ht="14.5" customHeight="1" x14ac:dyDescent="0.35">
      <c r="B13" s="126" t="s">
        <v>141</v>
      </c>
      <c r="C13" s="126" t="s">
        <v>138</v>
      </c>
      <c r="D13" s="167">
        <v>10000</v>
      </c>
    </row>
    <row r="14" spans="2:4" ht="14.5" customHeight="1" x14ac:dyDescent="0.35">
      <c r="B14" s="126" t="s">
        <v>141</v>
      </c>
      <c r="C14" s="126" t="s">
        <v>139</v>
      </c>
      <c r="D14" s="167">
        <v>10000</v>
      </c>
    </row>
    <row r="15" spans="2:4" ht="14.5" customHeight="1" x14ac:dyDescent="0.35">
      <c r="B15" s="81"/>
      <c r="C15" s="81"/>
      <c r="D15" s="168"/>
    </row>
    <row r="16" spans="2:4" ht="14.5" customHeight="1" x14ac:dyDescent="0.35">
      <c r="B16" s="85" t="s">
        <v>42</v>
      </c>
      <c r="C16" s="155"/>
      <c r="D16" s="169"/>
    </row>
    <row r="17" spans="2:4" ht="14.5" customHeight="1" x14ac:dyDescent="0.35">
      <c r="B17" s="126" t="s">
        <v>235</v>
      </c>
      <c r="C17" s="156" t="s">
        <v>236</v>
      </c>
      <c r="D17" s="167">
        <v>20000</v>
      </c>
    </row>
    <row r="18" spans="2:4" ht="14.5" customHeight="1" x14ac:dyDescent="0.35">
      <c r="B18" s="126" t="s">
        <v>222</v>
      </c>
      <c r="C18" s="156" t="s">
        <v>223</v>
      </c>
      <c r="D18" s="167">
        <v>5000</v>
      </c>
    </row>
    <row r="19" spans="2:4" ht="14.5" customHeight="1" x14ac:dyDescent="0.35">
      <c r="B19" s="126" t="s">
        <v>222</v>
      </c>
      <c r="C19" s="156" t="s">
        <v>224</v>
      </c>
      <c r="D19" s="167">
        <v>5000</v>
      </c>
    </row>
    <row r="20" spans="2:4" ht="14.5" customHeight="1" x14ac:dyDescent="0.35">
      <c r="B20" s="126" t="s">
        <v>222</v>
      </c>
      <c r="C20" s="156" t="s">
        <v>225</v>
      </c>
      <c r="D20" s="167">
        <v>5000</v>
      </c>
    </row>
    <row r="21" spans="2:4" ht="14.5" customHeight="1" x14ac:dyDescent="0.35">
      <c r="B21" s="126" t="s">
        <v>222</v>
      </c>
      <c r="C21" s="156" t="s">
        <v>226</v>
      </c>
      <c r="D21" s="167">
        <v>5000</v>
      </c>
    </row>
    <row r="22" spans="2:4" ht="14.5" customHeight="1" x14ac:dyDescent="0.35">
      <c r="B22" s="81" t="s">
        <v>25</v>
      </c>
      <c r="C22" s="81"/>
      <c r="D22" s="168"/>
    </row>
    <row r="23" spans="2:4" ht="14.5" customHeight="1" x14ac:dyDescent="0.35">
      <c r="B23" s="85" t="s">
        <v>43</v>
      </c>
      <c r="C23" s="155"/>
      <c r="D23" s="169"/>
    </row>
    <row r="24" spans="2:4" ht="14.5" customHeight="1" x14ac:dyDescent="0.35">
      <c r="B24" s="126" t="s">
        <v>141</v>
      </c>
      <c r="C24" s="126" t="s">
        <v>161</v>
      </c>
      <c r="D24" s="167">
        <v>90000</v>
      </c>
    </row>
    <row r="25" spans="2:4" ht="14.5" customHeight="1" x14ac:dyDescent="0.35">
      <c r="B25" s="126" t="s">
        <v>141</v>
      </c>
      <c r="C25" s="126" t="s">
        <v>26</v>
      </c>
      <c r="D25" s="167">
        <v>10000</v>
      </c>
    </row>
    <row r="26" spans="2:4" ht="14.5" customHeight="1" x14ac:dyDescent="0.35">
      <c r="B26" s="126" t="s">
        <v>141</v>
      </c>
      <c r="C26" s="126" t="s">
        <v>179</v>
      </c>
      <c r="D26" s="167">
        <v>9000</v>
      </c>
    </row>
    <row r="27" spans="2:4" ht="14.5" customHeight="1" x14ac:dyDescent="0.35">
      <c r="B27" s="81" t="s">
        <v>25</v>
      </c>
      <c r="C27" s="81"/>
      <c r="D27" s="168"/>
    </row>
    <row r="28" spans="2:4" ht="14.5" customHeight="1" x14ac:dyDescent="0.35">
      <c r="B28" s="85" t="s">
        <v>150</v>
      </c>
      <c r="C28" s="149"/>
      <c r="D28" s="169"/>
    </row>
    <row r="29" spans="2:4" ht="14.5" customHeight="1" x14ac:dyDescent="0.35">
      <c r="B29" s="126" t="s">
        <v>44</v>
      </c>
      <c r="C29" s="129" t="s">
        <v>181</v>
      </c>
      <c r="D29" s="167">
        <v>100000</v>
      </c>
    </row>
    <row r="30" spans="2:4" ht="14.5" customHeight="1" x14ac:dyDescent="0.35">
      <c r="B30" s="81" t="s">
        <v>25</v>
      </c>
      <c r="C30" s="81"/>
      <c r="D30" s="168"/>
    </row>
    <row r="31" spans="2:4" ht="14.5" customHeight="1" x14ac:dyDescent="0.35">
      <c r="B31" s="85" t="s">
        <v>39</v>
      </c>
      <c r="C31" s="155"/>
      <c r="D31" s="169"/>
    </row>
    <row r="32" spans="2:4" ht="14.5" customHeight="1" x14ac:dyDescent="0.35">
      <c r="B32" s="126" t="s">
        <v>142</v>
      </c>
      <c r="C32" s="157" t="s">
        <v>162</v>
      </c>
      <c r="D32" s="167">
        <v>-36000</v>
      </c>
    </row>
    <row r="33" spans="2:4" ht="14.5" customHeight="1" x14ac:dyDescent="0.35">
      <c r="B33" s="126" t="s">
        <v>141</v>
      </c>
      <c r="C33" s="157" t="s">
        <v>163</v>
      </c>
      <c r="D33" s="167">
        <v>72000</v>
      </c>
    </row>
    <row r="34" spans="2:4" ht="14.5" customHeight="1" x14ac:dyDescent="0.35">
      <c r="B34" s="81"/>
      <c r="C34" s="158"/>
      <c r="D34" s="168"/>
    </row>
    <row r="35" spans="2:4" ht="14.5" customHeight="1" x14ac:dyDescent="0.35">
      <c r="B35" s="85" t="s">
        <v>46</v>
      </c>
      <c r="C35" s="159"/>
      <c r="D35" s="169"/>
    </row>
    <row r="36" spans="2:4" ht="14.5" customHeight="1" x14ac:dyDescent="0.35">
      <c r="B36" s="126" t="s">
        <v>141</v>
      </c>
      <c r="C36" s="157" t="s">
        <v>27</v>
      </c>
      <c r="D36" s="167">
        <v>9000</v>
      </c>
    </row>
    <row r="37" spans="2:4" ht="14.5" customHeight="1" x14ac:dyDescent="0.35">
      <c r="B37" s="126" t="s">
        <v>141</v>
      </c>
      <c r="C37" s="126" t="s">
        <v>28</v>
      </c>
      <c r="D37" s="167">
        <v>9000</v>
      </c>
    </row>
    <row r="38" spans="2:4" ht="14.5" customHeight="1" x14ac:dyDescent="0.35">
      <c r="B38" s="126" t="s">
        <v>141</v>
      </c>
      <c r="C38" s="126" t="s">
        <v>173</v>
      </c>
      <c r="D38" s="167">
        <v>50000</v>
      </c>
    </row>
    <row r="39" spans="2:4" ht="14.5" customHeight="1" x14ac:dyDescent="0.35">
      <c r="B39" s="85" t="s">
        <v>47</v>
      </c>
      <c r="C39" s="155"/>
      <c r="D39" s="169"/>
    </row>
    <row r="40" spans="2:4" ht="14.5" customHeight="1" x14ac:dyDescent="0.35">
      <c r="B40" s="126" t="s">
        <v>141</v>
      </c>
      <c r="C40" s="152" t="s">
        <v>47</v>
      </c>
      <c r="D40" s="167">
        <v>20000</v>
      </c>
    </row>
    <row r="41" spans="2:4" ht="14.5" customHeight="1" x14ac:dyDescent="0.35">
      <c r="B41" s="81"/>
      <c r="C41" s="81"/>
      <c r="D41" s="168"/>
    </row>
    <row r="42" spans="2:4" ht="14.5" customHeight="1" x14ac:dyDescent="0.35">
      <c r="B42" s="85" t="s">
        <v>48</v>
      </c>
      <c r="C42" s="155"/>
      <c r="D42" s="169"/>
    </row>
    <row r="43" spans="2:4" ht="14.5" customHeight="1" x14ac:dyDescent="0.35">
      <c r="B43" s="126" t="s">
        <v>30</v>
      </c>
      <c r="C43" s="156" t="s">
        <v>31</v>
      </c>
      <c r="D43" s="167">
        <v>40000</v>
      </c>
    </row>
    <row r="44" spans="2:4" ht="14.5" customHeight="1" x14ac:dyDescent="0.35">
      <c r="B44" s="81"/>
      <c r="C44" s="153"/>
      <c r="D44" s="168"/>
    </row>
    <row r="45" spans="2:4" ht="14.5" customHeight="1" x14ac:dyDescent="0.35">
      <c r="B45" s="70" t="s">
        <v>49</v>
      </c>
      <c r="C45" s="71"/>
      <c r="D45" s="185"/>
    </row>
    <row r="46" spans="2:4" ht="14.5" customHeight="1" x14ac:dyDescent="0.35">
      <c r="B46" s="126" t="s">
        <v>32</v>
      </c>
      <c r="C46" s="126" t="s">
        <v>33</v>
      </c>
      <c r="D46" s="167">
        <v>15000</v>
      </c>
    </row>
    <row r="47" spans="2:4" ht="14.5" customHeight="1" x14ac:dyDescent="0.35">
      <c r="B47" s="126" t="s">
        <v>34</v>
      </c>
      <c r="C47" s="126" t="s">
        <v>35</v>
      </c>
      <c r="D47" s="167">
        <v>50000</v>
      </c>
    </row>
    <row r="48" spans="2:4" ht="14.5" customHeight="1" x14ac:dyDescent="0.35">
      <c r="B48" s="126" t="s">
        <v>36</v>
      </c>
      <c r="C48" s="126" t="s">
        <v>177</v>
      </c>
      <c r="D48" s="167">
        <v>120000</v>
      </c>
    </row>
    <row r="49" spans="2:5" ht="14.5" customHeight="1" x14ac:dyDescent="0.35">
      <c r="B49" s="81"/>
      <c r="C49" s="81"/>
      <c r="D49" s="168"/>
    </row>
    <row r="50" spans="2:5" ht="14.5" customHeight="1" x14ac:dyDescent="0.35">
      <c r="B50" s="85" t="s">
        <v>50</v>
      </c>
      <c r="C50" s="155"/>
      <c r="D50" s="169"/>
    </row>
    <row r="51" spans="2:5" ht="14.5" customHeight="1" x14ac:dyDescent="0.35">
      <c r="B51" s="126" t="s">
        <v>37</v>
      </c>
      <c r="C51" s="126" t="s">
        <v>38</v>
      </c>
      <c r="D51" s="167">
        <f>'NC dugnad'!H7</f>
        <v>85000</v>
      </c>
    </row>
    <row r="52" spans="2:5" x14ac:dyDescent="0.35">
      <c r="B52" s="42"/>
      <c r="C52" s="42"/>
      <c r="D52" s="45"/>
    </row>
    <row r="53" spans="2:5" x14ac:dyDescent="0.35">
      <c r="B53" s="85" t="s">
        <v>73</v>
      </c>
      <c r="C53" s="155"/>
      <c r="D53" s="169"/>
    </row>
    <row r="54" spans="2:5" x14ac:dyDescent="0.35">
      <c r="B54" s="126" t="s">
        <v>73</v>
      </c>
      <c r="C54" s="156" t="s">
        <v>74</v>
      </c>
      <c r="D54" s="135">
        <v>10000</v>
      </c>
      <c r="E54" s="84"/>
    </row>
    <row r="55" spans="2:5" x14ac:dyDescent="0.35">
      <c r="D55" s="36"/>
    </row>
    <row r="56" spans="2:5" ht="15" thickBot="1" x14ac:dyDescent="0.4">
      <c r="C56" s="130" t="s">
        <v>219</v>
      </c>
      <c r="D56" s="186">
        <f>SUM(D4:D54)</f>
        <v>773000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42D90-CDD0-40D7-802C-A59AFC53B67C}">
  <sheetPr>
    <tabColor theme="5" tint="0.39997558519241921"/>
  </sheetPr>
  <dimension ref="B1:D20"/>
  <sheetViews>
    <sheetView workbookViewId="0">
      <selection activeCell="D21" sqref="D21"/>
    </sheetView>
  </sheetViews>
  <sheetFormatPr defaultColWidth="8.7265625" defaultRowHeight="14.5" x14ac:dyDescent="0.35"/>
  <cols>
    <col min="1" max="1" width="8.7265625" style="1"/>
    <col min="2" max="2" width="44.1796875" style="1" customWidth="1"/>
    <col min="3" max="3" width="56.1796875" style="1" customWidth="1"/>
    <col min="4" max="4" width="14.1796875" style="1" customWidth="1"/>
    <col min="5" max="16384" width="8.7265625" style="1"/>
  </cols>
  <sheetData>
    <row r="1" spans="2:4" x14ac:dyDescent="0.35">
      <c r="B1" s="5" t="s">
        <v>152</v>
      </c>
      <c r="C1" s="6"/>
      <c r="D1" s="6"/>
    </row>
    <row r="3" spans="2:4" x14ac:dyDescent="0.35">
      <c r="B3" s="40" t="s">
        <v>144</v>
      </c>
      <c r="C3" s="41"/>
      <c r="D3" s="41"/>
    </row>
    <row r="4" spans="2:4" x14ac:dyDescent="0.35">
      <c r="B4" s="126" t="s">
        <v>53</v>
      </c>
      <c r="C4" s="126" t="s">
        <v>53</v>
      </c>
      <c r="D4" s="129">
        <v>0</v>
      </c>
    </row>
    <row r="5" spans="2:4" x14ac:dyDescent="0.35">
      <c r="B5" s="81"/>
      <c r="C5" s="81"/>
      <c r="D5" s="84"/>
    </row>
    <row r="6" spans="2:4" x14ac:dyDescent="0.35">
      <c r="B6" s="123" t="s">
        <v>145</v>
      </c>
      <c r="C6" s="123"/>
      <c r="D6" s="125"/>
    </row>
    <row r="7" spans="2:4" x14ac:dyDescent="0.35">
      <c r="B7" s="126" t="s">
        <v>169</v>
      </c>
      <c r="C7" s="127"/>
      <c r="D7" s="129">
        <v>0</v>
      </c>
    </row>
    <row r="8" spans="2:4" x14ac:dyDescent="0.35">
      <c r="B8" s="126" t="s">
        <v>176</v>
      </c>
      <c r="C8" s="127"/>
      <c r="D8" s="129">
        <v>0</v>
      </c>
    </row>
    <row r="9" spans="2:4" x14ac:dyDescent="0.35">
      <c r="B9" s="126" t="s">
        <v>168</v>
      </c>
      <c r="C9" s="127"/>
      <c r="D9" s="129">
        <v>0</v>
      </c>
    </row>
    <row r="10" spans="2:4" x14ac:dyDescent="0.35">
      <c r="B10" s="126" t="s">
        <v>234</v>
      </c>
      <c r="C10" s="127"/>
      <c r="D10" s="129">
        <v>0</v>
      </c>
    </row>
    <row r="11" spans="2:4" x14ac:dyDescent="0.35">
      <c r="B11" s="81"/>
      <c r="C11" s="122"/>
      <c r="D11" s="84"/>
    </row>
    <row r="12" spans="2:4" x14ac:dyDescent="0.35">
      <c r="B12" s="163" t="s">
        <v>146</v>
      </c>
      <c r="C12" s="124"/>
      <c r="D12" s="125"/>
    </row>
    <row r="13" spans="2:4" x14ac:dyDescent="0.35">
      <c r="B13" s="126" t="s">
        <v>170</v>
      </c>
      <c r="C13" s="127"/>
      <c r="D13" s="129">
        <v>0</v>
      </c>
    </row>
    <row r="14" spans="2:4" x14ac:dyDescent="0.35">
      <c r="B14" s="126" t="s">
        <v>32</v>
      </c>
      <c r="C14" s="126" t="s">
        <v>54</v>
      </c>
      <c r="D14" s="129">
        <v>0</v>
      </c>
    </row>
    <row r="15" spans="2:4" x14ac:dyDescent="0.35">
      <c r="B15" s="126" t="s">
        <v>30</v>
      </c>
      <c r="C15" s="126" t="s">
        <v>55</v>
      </c>
      <c r="D15" s="129">
        <v>0</v>
      </c>
    </row>
    <row r="16" spans="2:4" x14ac:dyDescent="0.35">
      <c r="B16" s="126" t="s">
        <v>36</v>
      </c>
      <c r="C16" s="126" t="s">
        <v>171</v>
      </c>
      <c r="D16" s="129">
        <v>0</v>
      </c>
    </row>
    <row r="17" spans="2:4" x14ac:dyDescent="0.35">
      <c r="B17" s="126" t="s">
        <v>56</v>
      </c>
      <c r="C17" s="157" t="s">
        <v>172</v>
      </c>
      <c r="D17" s="129">
        <v>0</v>
      </c>
    </row>
    <row r="18" spans="2:4" x14ac:dyDescent="0.35">
      <c r="B18" s="126" t="s">
        <v>57</v>
      </c>
      <c r="C18" s="157" t="s">
        <v>58</v>
      </c>
      <c r="D18" s="129">
        <v>0</v>
      </c>
    </row>
    <row r="19" spans="2:4" x14ac:dyDescent="0.35">
      <c r="B19" s="42"/>
      <c r="C19" s="42"/>
      <c r="D19" s="42"/>
    </row>
    <row r="20" spans="2:4" ht="15" thickBot="1" x14ac:dyDescent="0.4">
      <c r="B20" s="42"/>
      <c r="C20" s="130" t="s">
        <v>221</v>
      </c>
      <c r="D20" s="131">
        <v>78962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D7954-D0B6-42FF-BBD0-DD1CEFD7393E}">
  <sheetPr>
    <tabColor theme="5" tint="0.39997558519241921"/>
  </sheetPr>
  <dimension ref="B1:D28"/>
  <sheetViews>
    <sheetView topLeftCell="A10" zoomScale="110" zoomScaleNormal="110" workbookViewId="0"/>
  </sheetViews>
  <sheetFormatPr defaultColWidth="8.7265625" defaultRowHeight="14.5" x14ac:dyDescent="0.35"/>
  <cols>
    <col min="1" max="1" width="8.7265625" style="1"/>
    <col min="2" max="2" width="29.1796875" style="1" customWidth="1"/>
    <col min="3" max="3" width="37.26953125" style="1" customWidth="1"/>
    <col min="4" max="16384" width="8.7265625" style="1"/>
  </cols>
  <sheetData>
    <row r="1" spans="2:4" x14ac:dyDescent="0.35">
      <c r="B1" s="5" t="s">
        <v>164</v>
      </c>
      <c r="C1" s="6"/>
      <c r="D1" s="6"/>
    </row>
    <row r="2" spans="2:4" x14ac:dyDescent="0.35">
      <c r="B2" s="2"/>
      <c r="C2" s="2"/>
      <c r="D2" s="3"/>
    </row>
    <row r="3" spans="2:4" x14ac:dyDescent="0.35">
      <c r="B3" s="85" t="s">
        <v>80</v>
      </c>
      <c r="C3" s="155"/>
      <c r="D3" s="149"/>
    </row>
    <row r="4" spans="2:4" x14ac:dyDescent="0.35">
      <c r="B4" s="126" t="s">
        <v>80</v>
      </c>
      <c r="C4" s="126" t="s">
        <v>218</v>
      </c>
      <c r="D4" s="129">
        <f>-(450*50)</f>
        <v>-22500</v>
      </c>
    </row>
    <row r="5" spans="2:4" x14ac:dyDescent="0.35">
      <c r="B5" s="126" t="s">
        <v>81</v>
      </c>
      <c r="C5" s="126" t="s">
        <v>82</v>
      </c>
      <c r="D5" s="129">
        <v>5000</v>
      </c>
    </row>
    <row r="6" spans="2:4" x14ac:dyDescent="0.35">
      <c r="B6" s="126" t="s">
        <v>59</v>
      </c>
      <c r="C6" s="126" t="s">
        <v>83</v>
      </c>
      <c r="D6" s="129">
        <v>10000</v>
      </c>
    </row>
    <row r="7" spans="2:4" x14ac:dyDescent="0.35">
      <c r="B7" s="81"/>
      <c r="C7" s="81"/>
      <c r="D7" s="164">
        <f>SUM(D4:D6)</f>
        <v>-7500</v>
      </c>
    </row>
    <row r="8" spans="2:4" x14ac:dyDescent="0.35">
      <c r="B8" s="81" t="s">
        <v>25</v>
      </c>
      <c r="C8" s="81"/>
      <c r="D8" s="84"/>
    </row>
    <row r="9" spans="2:4" x14ac:dyDescent="0.35">
      <c r="B9" s="85" t="s">
        <v>92</v>
      </c>
      <c r="C9" s="155"/>
      <c r="D9" s="149"/>
    </row>
    <row r="10" spans="2:4" x14ac:dyDescent="0.35">
      <c r="B10" s="126" t="s">
        <v>81</v>
      </c>
      <c r="C10" s="126" t="s">
        <v>84</v>
      </c>
      <c r="D10" s="129">
        <v>10000</v>
      </c>
    </row>
    <row r="11" spans="2:4" x14ac:dyDescent="0.35">
      <c r="B11" s="126" t="s">
        <v>81</v>
      </c>
      <c r="C11" s="126" t="s">
        <v>85</v>
      </c>
      <c r="D11" s="129">
        <v>6000</v>
      </c>
    </row>
    <row r="12" spans="2:4" x14ac:dyDescent="0.35">
      <c r="B12" s="126" t="s">
        <v>81</v>
      </c>
      <c r="C12" s="126" t="s">
        <v>86</v>
      </c>
      <c r="D12" s="129">
        <v>3000</v>
      </c>
    </row>
    <row r="13" spans="2:4" x14ac:dyDescent="0.35">
      <c r="B13" s="126" t="s">
        <v>81</v>
      </c>
      <c r="C13" s="126" t="s">
        <v>87</v>
      </c>
      <c r="D13" s="129">
        <v>3000</v>
      </c>
    </row>
    <row r="14" spans="2:4" x14ac:dyDescent="0.35">
      <c r="B14" s="126" t="s">
        <v>81</v>
      </c>
      <c r="C14" s="126" t="s">
        <v>88</v>
      </c>
      <c r="D14" s="129">
        <v>6000</v>
      </c>
    </row>
    <row r="15" spans="2:4" x14ac:dyDescent="0.35">
      <c r="B15" s="81"/>
      <c r="C15" s="81"/>
      <c r="D15" s="164">
        <f>SUM(D10:D14)</f>
        <v>28000</v>
      </c>
    </row>
    <row r="16" spans="2:4" x14ac:dyDescent="0.35">
      <c r="B16" s="81" t="s">
        <v>25</v>
      </c>
      <c r="C16" s="81"/>
      <c r="D16" s="84"/>
    </row>
    <row r="17" spans="2:4" x14ac:dyDescent="0.35">
      <c r="B17" s="85" t="s">
        <v>93</v>
      </c>
      <c r="C17" s="155"/>
      <c r="D17" s="149"/>
    </row>
    <row r="18" spans="2:4" x14ac:dyDescent="0.35">
      <c r="B18" s="126" t="s">
        <v>81</v>
      </c>
      <c r="C18" s="126" t="s">
        <v>89</v>
      </c>
      <c r="D18" s="129">
        <v>5000</v>
      </c>
    </row>
    <row r="19" spans="2:4" x14ac:dyDescent="0.35">
      <c r="B19" s="126" t="s">
        <v>81</v>
      </c>
      <c r="C19" s="126" t="s">
        <v>90</v>
      </c>
      <c r="D19" s="129">
        <v>3000</v>
      </c>
    </row>
    <row r="20" spans="2:4" x14ac:dyDescent="0.35">
      <c r="B20" s="126" t="s">
        <v>81</v>
      </c>
      <c r="C20" s="126" t="s">
        <v>91</v>
      </c>
      <c r="D20" s="129">
        <v>50000</v>
      </c>
    </row>
    <row r="21" spans="2:4" x14ac:dyDescent="0.35">
      <c r="B21" s="42"/>
      <c r="C21" s="42"/>
      <c r="D21" s="165">
        <f>SUM(D18:D20)</f>
        <v>58000</v>
      </c>
    </row>
    <row r="22" spans="2:4" x14ac:dyDescent="0.35">
      <c r="B22" s="42"/>
      <c r="C22" s="42"/>
      <c r="D22" s="42"/>
    </row>
    <row r="23" spans="2:4" x14ac:dyDescent="0.35">
      <c r="B23" s="85" t="s">
        <v>147</v>
      </c>
      <c r="C23" s="155"/>
      <c r="D23" s="149"/>
    </row>
    <row r="24" spans="2:4" x14ac:dyDescent="0.35">
      <c r="B24" s="126" t="s">
        <v>148</v>
      </c>
      <c r="C24" s="126" t="s">
        <v>178</v>
      </c>
      <c r="D24" s="129">
        <v>-100000</v>
      </c>
    </row>
    <row r="25" spans="2:4" x14ac:dyDescent="0.35">
      <c r="B25" s="126" t="s">
        <v>148</v>
      </c>
      <c r="C25" s="126" t="s">
        <v>11</v>
      </c>
      <c r="D25" s="129">
        <v>100000</v>
      </c>
    </row>
    <row r="26" spans="2:4" x14ac:dyDescent="0.35">
      <c r="B26" s="42"/>
      <c r="C26" s="42"/>
      <c r="D26" s="165">
        <f>SUM(D24:D25)</f>
        <v>0</v>
      </c>
    </row>
    <row r="27" spans="2:4" x14ac:dyDescent="0.35">
      <c r="B27" s="42"/>
      <c r="C27" s="42"/>
      <c r="D27" s="42"/>
    </row>
    <row r="28" spans="2:4" ht="15" thickBot="1" x14ac:dyDescent="0.4">
      <c r="B28" s="42"/>
      <c r="C28" s="130" t="s">
        <v>94</v>
      </c>
      <c r="D28" s="131">
        <f>D7+D15+D21+D26</f>
        <v>78500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89ab092d-ad68-44f0-89ca-65366b4c429a}" enabled="1" method="Standard" siteId="{2f7e641d-35dd-4a72-91ef-9c34810f321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BUDSJETT - OPPSUMMERT</vt:lpstr>
      <vt:lpstr>NC dugnad</vt:lpstr>
      <vt:lpstr>Andre inntekter</vt:lpstr>
      <vt:lpstr>Aktivitetsavgift</vt:lpstr>
      <vt:lpstr>Lønn</vt:lpstr>
      <vt:lpstr>Anlegg</vt:lpstr>
      <vt:lpstr>Sportslig aktivitet - langrenn</vt:lpstr>
      <vt:lpstr>Sportslig aktivitet - telemark</vt:lpstr>
      <vt:lpstr>Arrangement Langrenn</vt:lpstr>
      <vt:lpstr>Arrangement Telemark</vt:lpstr>
      <vt:lpstr>Finans</vt:lpstr>
    </vt:vector>
  </TitlesOfParts>
  <Company>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Egil Jakobsen</dc:creator>
  <cp:lastModifiedBy>Egil Jakobsen</cp:lastModifiedBy>
  <dcterms:created xsi:type="dcterms:W3CDTF">2025-11-08T13:55:28Z</dcterms:created>
  <dcterms:modified xsi:type="dcterms:W3CDTF">2026-01-20T17:18:40Z</dcterms:modified>
</cp:coreProperties>
</file>